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abigc\Downloads\"/>
    </mc:Choice>
  </mc:AlternateContent>
  <xr:revisionPtr revIDLastSave="0" documentId="13_ncr:1_{0960D963-1F23-4BB4-8BF6-C75B89F9752A}" xr6:coauthVersionLast="47" xr6:coauthVersionMax="47" xr10:uidLastSave="{00000000-0000-0000-0000-000000000000}"/>
  <bookViews>
    <workbookView xWindow="-108" yWindow="-108" windowWidth="23256" windowHeight="12456" tabRatio="785" xr2:uid="{00000000-000D-0000-FFFF-FFFF00000000}"/>
  </bookViews>
  <sheets>
    <sheet name="Budget R0" sheetId="16" r:id="rId1"/>
    <sheet name="BW Abs" sheetId="6" r:id="rId2"/>
    <sheet name="Budget Compa" sheetId="25" r:id="rId3"/>
    <sheet name="Material Abs" sheetId="5" r:id="rId4"/>
    <sheet name="WO " sheetId="24" r:id="rId5"/>
    <sheet name="Appd Brick Tile" sheetId="43" r:id="rId6"/>
    <sheet name="Plinth area" sheetId="41" r:id="rId7"/>
    <sheet name="Base Floor - BW" sheetId="40" r:id="rId8"/>
    <sheet name="Ground Floor - BW" sheetId="20" r:id="rId9"/>
    <sheet name="1st Floor - BW " sheetId="21" r:id="rId10"/>
    <sheet name="Typical 2,3 - BW" sheetId="22" r:id="rId11"/>
    <sheet name="Terrace - BW" sheetId="4" r:id="rId12"/>
    <sheet name="Chips packing" sheetId="7" r:id="rId13"/>
    <sheet name="Concrete" sheetId="8" r:id="rId14"/>
    <sheet name="Lintel Steel" sheetId="15" r:id="rId15"/>
    <sheet name="Loft" sheetId="9" r:id="rId16"/>
    <sheet name="Lock Set" sheetId="12" r:id="rId17"/>
    <sheet name="Struc Abs" sheetId="42" r:id="rId18"/>
    <sheet name="Sheet1" sheetId="44"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123Graph_A" localSheetId="17" hidden="1">'[1]Rate Analysis'!#REF!</definedName>
    <definedName name="__123Graph_A" hidden="1">'[1]Rate Analysis'!#REF!</definedName>
    <definedName name="__123Graph_B" localSheetId="17" hidden="1">'[1]Rate Analysis'!#REF!</definedName>
    <definedName name="__123Graph_B" hidden="1">'[1]Rate Analysis'!#REF!</definedName>
    <definedName name="__123Graph_C" localSheetId="17" hidden="1">'[1]Rate Analysis'!#REF!</definedName>
    <definedName name="__123Graph_C" hidden="1">'[1]Rate Analysis'!#REF!</definedName>
    <definedName name="__123Graph_D" hidden="1">[2]Sheet6!$O$16:$O$22</definedName>
    <definedName name="__123Graph_E" localSheetId="17" hidden="1">'[1]Rate Analysis'!#REF!</definedName>
    <definedName name="__123Graph_E" hidden="1">'[1]Rate Analysis'!#REF!</definedName>
    <definedName name="__123Graph_F" localSheetId="17" hidden="1">'[1]Rate Analysis'!#REF!</definedName>
    <definedName name="__123Graph_F" hidden="1">'[1]Rate Analysis'!#REF!</definedName>
    <definedName name="__123Graph_X" localSheetId="17" hidden="1">'[1]Rate Analysis'!#REF!</definedName>
    <definedName name="__123Graph_X" hidden="1">'[1]Rate Analysis'!#REF!</definedName>
    <definedName name="_Fill" localSheetId="17" hidden="1">#REF!</definedName>
    <definedName name="_Fill" hidden="1">#REF!</definedName>
    <definedName name="_Fill1" localSheetId="17" hidden="1">[3]S1BOQ!#REF!</definedName>
    <definedName name="_Fill1" hidden="1">[3]S1BOQ!#REF!</definedName>
    <definedName name="_xlnm._FilterDatabase" localSheetId="9" hidden="1">'1st Floor - BW '!$B$3:$AJ$276</definedName>
    <definedName name="_xlnm._FilterDatabase" localSheetId="7" hidden="1">'Base Floor - BW'!$B$5:$T$86</definedName>
    <definedName name="_xlnm._FilterDatabase" localSheetId="8" hidden="1">'Ground Floor - BW'!$B$3:$AR$9</definedName>
    <definedName name="_xlnm._FilterDatabase" localSheetId="15" hidden="1">Loft!$B$5:$S$88</definedName>
    <definedName name="_xlnm._FilterDatabase" localSheetId="17" hidden="1">'Struc Abs'!$C$4:$N$11</definedName>
    <definedName name="_xlnm._FilterDatabase" localSheetId="11" hidden="1">'Terrace - BW'!$W$4:$AB$78</definedName>
    <definedName name="_xlnm._FilterDatabase" localSheetId="10" hidden="1">'Typical 2,3 - BW'!$B$3:$T$274</definedName>
    <definedName name="_xlnm._FilterDatabase" hidden="1">#REF!</definedName>
    <definedName name="_Key1" localSheetId="17" hidden="1">#REF!</definedName>
    <definedName name="_Key1" hidden="1">#REF!</definedName>
    <definedName name="_Order1" hidden="1">255</definedName>
    <definedName name="_Order2" hidden="1">0</definedName>
    <definedName name="_Parse_Out" localSheetId="17" hidden="1">#REF!</definedName>
    <definedName name="_Parse_Out" hidden="1">#REF!</definedName>
    <definedName name="_Sort" localSheetId="17" hidden="1">#REF!</definedName>
    <definedName name="_Sort" hidden="1">#REF!</definedName>
    <definedName name="ab" localSheetId="17" hidden="1">#REF!</definedName>
    <definedName name="ab" hidden="1">#REF!</definedName>
    <definedName name="Abs" localSheetId="17" hidden="1">#REF!</definedName>
    <definedName name="Abs" hidden="1">#REF!</definedName>
    <definedName name="absgdshs" localSheetId="17" hidden="1">'[1]Rate Analysis'!#REF!</definedName>
    <definedName name="absgdshs" hidden="1">'[1]Rate Analysis'!#REF!</definedName>
    <definedName name="abst" localSheetId="17" hidden="1">#REF!</definedName>
    <definedName name="abst" hidden="1">#REF!</definedName>
    <definedName name="abstrac" localSheetId="17" hidden="1">#REF!</definedName>
    <definedName name="abstrac" hidden="1">#REF!</definedName>
    <definedName name="abstract" localSheetId="17" hidden="1">#REF!</definedName>
    <definedName name="abstract" hidden="1">#REF!</definedName>
    <definedName name="AccessDatabase" hidden="1">"D:\MIS\TALLY  31.09.04 sep\AS PER TALLY 31.09.04.mdb"</definedName>
    <definedName name="accomation" localSheetId="17" hidden="1">#REF!</definedName>
    <definedName name="accomation" hidden="1">#REF!</definedName>
    <definedName name="add_BOQ" localSheetId="17" hidden="1">{#N/A,#N/A,TRUE,"Front";#N/A,#N/A,TRUE,"Simple Letter";#N/A,#N/A,TRUE,"Inside";#N/A,#N/A,TRUE,"Contents";#N/A,#N/A,TRUE,"Basis";#N/A,#N/A,TRUE,"Inclusions";#N/A,#N/A,TRUE,"Exclusions";#N/A,#N/A,TRUE,"Areas";#N/A,#N/A,TRUE,"Summary";#N/A,#N/A,TRUE,"Detail"}</definedName>
    <definedName name="add_BOQ" hidden="1">{#N/A,#N/A,TRUE,"Front";#N/A,#N/A,TRUE,"Simple Letter";#N/A,#N/A,TRUE,"Inside";#N/A,#N/A,TRUE,"Contents";#N/A,#N/A,TRUE,"Basis";#N/A,#N/A,TRUE,"Inclusions";#N/A,#N/A,TRUE,"Exclusions";#N/A,#N/A,TRUE,"Areas";#N/A,#N/A,TRUE,"Summary";#N/A,#N/A,TRUE,"Detail"}</definedName>
    <definedName name="AEFR" localSheetId="17" hidden="1">#REF!</definedName>
    <definedName name="AEFR" hidden="1">#REF!</definedName>
    <definedName name="anscount" hidden="1">1</definedName>
    <definedName name="anu" localSheetId="17" hidden="1">[4]analysis!#REF!</definedName>
    <definedName name="anu" hidden="1">[4]analysis!#REF!</definedName>
    <definedName name="ARUN" localSheetId="17" hidden="1">#REF!</definedName>
    <definedName name="ARUN" hidden="1">#REF!</definedName>
    <definedName name="ass" localSheetId="17" hidden="1">#REF!</definedName>
    <definedName name="ass" hidden="1">#REF!</definedName>
    <definedName name="BB" localSheetId="17" hidden="1">[4]analysis!#REF!</definedName>
    <definedName name="BB" hidden="1">[4]analysis!#REF!</definedName>
    <definedName name="bbbbbbbbbb" localSheetId="17" hidden="1">#REF!</definedName>
    <definedName name="bbbbbbbbbb" hidden="1">#REF!</definedName>
    <definedName name="cf" localSheetId="17" hidden="1">{#N/A,#N/A,TRUE,"Front";#N/A,#N/A,TRUE,"Simple Letter";#N/A,#N/A,TRUE,"Inside";#N/A,#N/A,TRUE,"Contents";#N/A,#N/A,TRUE,"Basis";#N/A,#N/A,TRUE,"Inclusions";#N/A,#N/A,TRUE,"Exclusions";#N/A,#N/A,TRUE,"Areas";#N/A,#N/A,TRUE,"Summary";#N/A,#N/A,TRUE,"Detail"}</definedName>
    <definedName name="cf" hidden="1">{#N/A,#N/A,TRUE,"Front";#N/A,#N/A,TRUE,"Simple Letter";#N/A,#N/A,TRUE,"Inside";#N/A,#N/A,TRUE,"Contents";#N/A,#N/A,TRUE,"Basis";#N/A,#N/A,TRUE,"Inclusions";#N/A,#N/A,TRUE,"Exclusions";#N/A,#N/A,TRUE,"Areas";#N/A,#N/A,TRUE,"Summary";#N/A,#N/A,TRUE,"Detail"}</definedName>
    <definedName name="cfghjnfgjn" localSheetId="17" hidden="1">'[5]Scaff-Rose'!#REF!</definedName>
    <definedName name="cfghjnfgjn" hidden="1">'[5]Scaff-Rose'!#REF!</definedName>
    <definedName name="con" localSheetId="17" hidden="1">{#N/A,#N/A,TRUE,"Front";#N/A,#N/A,TRUE,"Simple Letter";#N/A,#N/A,TRUE,"Inside";#N/A,#N/A,TRUE,"Contents";#N/A,#N/A,TRUE,"Basis";#N/A,#N/A,TRUE,"Inclusions";#N/A,#N/A,TRUE,"Exclusions";#N/A,#N/A,TRUE,"Areas";#N/A,#N/A,TRUE,"Summary";#N/A,#N/A,TRUE,"Detail"}</definedName>
    <definedName name="con" hidden="1">{#N/A,#N/A,TRUE,"Front";#N/A,#N/A,TRUE,"Simple Letter";#N/A,#N/A,TRUE,"Inside";#N/A,#N/A,TRUE,"Contents";#N/A,#N/A,TRUE,"Basis";#N/A,#N/A,TRUE,"Inclusions";#N/A,#N/A,TRUE,"Exclusions";#N/A,#N/A,TRUE,"Areas";#N/A,#N/A,TRUE,"Summary";#N/A,#N/A,TRUE,"Detail"}</definedName>
    <definedName name="crsr" localSheetId="17" hidden="1">[4]analysis!#REF!</definedName>
    <definedName name="crsr" hidden="1">[4]analysis!#REF!</definedName>
    <definedName name="crsr1" localSheetId="17" hidden="1">[4]analysis!#REF!</definedName>
    <definedName name="crsr1" hidden="1">[4]analysis!#REF!</definedName>
    <definedName name="crsr2" localSheetId="17" hidden="1">[4]analysis!#REF!</definedName>
    <definedName name="crsr2" hidden="1">[4]analysis!#REF!</definedName>
    <definedName name="crsr3" localSheetId="17" hidden="1">[4]analysis!#REF!</definedName>
    <definedName name="crsr3" hidden="1">[4]analysis!#REF!</definedName>
    <definedName name="CV" hidden="1">#NAME?</definedName>
    <definedName name="DCI" localSheetId="17" hidden="1">{#N/A,#N/A,TRUE,"Front";#N/A,#N/A,TRUE,"Simple Letter";#N/A,#N/A,TRUE,"Inside";#N/A,#N/A,TRUE,"Contents";#N/A,#N/A,TRUE,"Basis";#N/A,#N/A,TRUE,"Inclusions";#N/A,#N/A,TRUE,"Exclusions";#N/A,#N/A,TRUE,"Areas";#N/A,#N/A,TRUE,"Summary";#N/A,#N/A,TRUE,"Detail"}</definedName>
    <definedName name="DCI" hidden="1">{#N/A,#N/A,TRUE,"Front";#N/A,#N/A,TRUE,"Simple Letter";#N/A,#N/A,TRUE,"Inside";#N/A,#N/A,TRUE,"Contents";#N/A,#N/A,TRUE,"Basis";#N/A,#N/A,TRUE,"Inclusions";#N/A,#N/A,TRUE,"Exclusions";#N/A,#N/A,TRUE,"Areas";#N/A,#N/A,TRUE,"Summary";#N/A,#N/A,TRUE,"Detail"}</definedName>
    <definedName name="dzfgbzdfbzdfbv" localSheetId="17" hidden="1">{"'Sheet1'!$A$4386:$N$4591"}</definedName>
    <definedName name="dzfgbzdfbzdfbv" hidden="1">{"'Sheet1'!$A$4386:$N$4591"}</definedName>
    <definedName name="fdhgbsfgh" localSheetId="17" hidden="1">#REF!</definedName>
    <definedName name="fdhgbsfgh" hidden="1">#REF!</definedName>
    <definedName name="fds" localSheetId="17" hidden="1">[4]analysis!#REF!</definedName>
    <definedName name="fds" hidden="1">[4]analysis!#REF!</definedName>
    <definedName name="fgh" localSheetId="17" hidden="1">[4]analysis!#REF!</definedName>
    <definedName name="fgh" hidden="1">[4]analysis!#REF!</definedName>
    <definedName name="fil" localSheetId="17" hidden="1">#REF!</definedName>
    <definedName name="fil" hidden="1">#REF!</definedName>
    <definedName name="HTML_CodePage" hidden="1">1252</definedName>
    <definedName name="HTML_Control" localSheetId="17" hidden="1">{"'Sheet1'!$A$4386:$N$4591"}</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jaghsdjas" localSheetId="17" hidden="1">[4]analysis!#REF!</definedName>
    <definedName name="jaghsdjas" hidden="1">[4]analysis!#REF!</definedName>
    <definedName name="key" localSheetId="17" hidden="1">#REF!</definedName>
    <definedName name="key" hidden="1">#REF!</definedName>
    <definedName name="limcount" hidden="1">1</definedName>
    <definedName name="meraj" localSheetId="17" hidden="1">{"'Sheet1'!$A$4386:$N$4591"}</definedName>
    <definedName name="meraj" hidden="1">{"'Sheet1'!$A$4386:$N$4591"}</definedName>
    <definedName name="meraj1" localSheetId="17" hidden="1">[5]Micro!#REF!</definedName>
    <definedName name="meraj1" hidden="1">[5]Micro!#REF!</definedName>
    <definedName name="mq" localSheetId="17" hidden="1">{"'Sheet1'!$A$4386:$N$4591"}</definedName>
    <definedName name="mq" hidden="1">{"'Sheet1'!$A$4386:$N$4591"}</definedName>
    <definedName name="orlando" localSheetId="17" hidden="1">'[5]Scaff-Rose'!#REF!</definedName>
    <definedName name="orlando" hidden="1">'[5]Scaff-Rose'!#REF!</definedName>
    <definedName name="orlando1" localSheetId="17" hidden="1">{"'Sheet1'!$A$4386:$N$4591"}</definedName>
    <definedName name="orlando1" hidden="1">{"'Sheet1'!$A$4386:$N$4591"}</definedName>
    <definedName name="Other_Deductions">'[6]01.08.13 (out)'!$G$19</definedName>
    <definedName name="PFS" localSheetId="17" hidden="1">#REF!</definedName>
    <definedName name="PFS" hidden="1">#REF!</definedName>
    <definedName name="_xlnm.Print_Area" localSheetId="2">'Budget Compa'!$A$1:$U$27</definedName>
    <definedName name="_xlnm.Print_Area" localSheetId="0">'Budget R0'!$A$1:$J$27</definedName>
    <definedName name="_xlnm.Print_Area" localSheetId="17">'Struc Abs'!$A$1:$N$47</definedName>
    <definedName name="_xlnm.Print_Titles" localSheetId="9">'1st Floor - BW '!$3:$4</definedName>
    <definedName name="_xlnm.Print_Titles" localSheetId="7">'Base Floor - BW'!#REF!</definedName>
    <definedName name="_xlnm.Print_Titles" localSheetId="2">'Budget Compa'!$6:$6</definedName>
    <definedName name="_xlnm.Print_Titles" localSheetId="0">'Budget R0'!$6:$6</definedName>
    <definedName name="_xlnm.Print_Titles" localSheetId="8">'Ground Floor - BW'!#REF!</definedName>
    <definedName name="_xlnm.Print_Titles" localSheetId="11">'Terrace - BW'!$3:$4</definedName>
    <definedName name="_xlnm.Print_Titles" localSheetId="10">'Typical 2,3 - BW'!$3:$4</definedName>
    <definedName name="QC" localSheetId="17" hidden="1">{"'Sheet1'!$A$4386:$N$4591"}</definedName>
    <definedName name="QC" hidden="1">{"'Sheet1'!$A$4386:$N$4591"}</definedName>
    <definedName name="qewr" localSheetId="17" hidden="1">[4]analysis!#REF!</definedName>
    <definedName name="qewr" hidden="1">[4]analysis!#REF!</definedName>
    <definedName name="qttty" localSheetId="17" hidden="1">{#N/A,#N/A,TRUE,"Front";#N/A,#N/A,TRUE,"Simple Letter";#N/A,#N/A,TRUE,"Inside";#N/A,#N/A,TRUE,"Contents";#N/A,#N/A,TRUE,"Basis";#N/A,#N/A,TRUE,"Inclusions";#N/A,#N/A,TRUE,"Exclusions";#N/A,#N/A,TRUE,"Areas";#N/A,#N/A,TRUE,"Summary";#N/A,#N/A,TRUE,"Detail"}</definedName>
    <definedName name="qttty" hidden="1">{#N/A,#N/A,TRUE,"Front";#N/A,#N/A,TRUE,"Simple Letter";#N/A,#N/A,TRUE,"Inside";#N/A,#N/A,TRUE,"Contents";#N/A,#N/A,TRUE,"Basis";#N/A,#N/A,TRUE,"Inclusions";#N/A,#N/A,TRUE,"Exclusions";#N/A,#N/A,TRUE,"Areas";#N/A,#N/A,TRUE,"Summary";#N/A,#N/A,TRUE,"Detail"}</definedName>
    <definedName name="Raj" localSheetId="17" hidden="1">{"'Sheet1'!$A$4386:$N$4591"}</definedName>
    <definedName name="Raj" hidden="1">{"'Sheet1'!$A$4386:$N$4591"}</definedName>
    <definedName name="ravi" localSheetId="17" hidden="1">{#N/A,#N/A,TRUE,"Front";#N/A,#N/A,TRUE,"Simple Letter";#N/A,#N/A,TRUE,"Inside";#N/A,#N/A,TRUE,"Contents";#N/A,#N/A,TRUE,"Basis";#N/A,#N/A,TRUE,"Inclusions";#N/A,#N/A,TRUE,"Exclusions";#N/A,#N/A,TRUE,"Areas";#N/A,#N/A,TRUE,"Summary";#N/A,#N/A,TRUE,"Detail"}</definedName>
    <definedName name="ravi" hidden="1">{#N/A,#N/A,TRUE,"Front";#N/A,#N/A,TRUE,"Simple Letter";#N/A,#N/A,TRUE,"Inside";#N/A,#N/A,TRUE,"Contents";#N/A,#N/A,TRUE,"Basis";#N/A,#N/A,TRUE,"Inclusions";#N/A,#N/A,TRUE,"Exclusions";#N/A,#N/A,TRUE,"Areas";#N/A,#N/A,TRUE,"Summary";#N/A,#N/A,TRUE,"Detail"}</definedName>
    <definedName name="Reco" localSheetId="17" hidden="1">#REF!</definedName>
    <definedName name="Reco" hidden="1">#REF!</definedName>
    <definedName name="recon" localSheetId="17" hidden="1">#REF!</definedName>
    <definedName name="recon" hidden="1">#REF!</definedName>
    <definedName name="rq" localSheetId="17" hidden="1">{"'Sheet1'!$A$4386:$N$4591"}</definedName>
    <definedName name="rq" hidden="1">{"'Sheet1'!$A$4386:$N$4591"}</definedName>
    <definedName name="rwe" localSheetId="17" hidden="1">[4]analysis!#REF!</definedName>
    <definedName name="rwe" hidden="1">[4]analysis!#REF!</definedName>
    <definedName name="s" localSheetId="17" hidden="1">#REF!</definedName>
    <definedName name="s" hidden="1">#REF!</definedName>
    <definedName name="sadsa" localSheetId="17" hidden="1">'[1]Rate Analysis'!#REF!</definedName>
    <definedName name="sadsa" hidden="1">'[1]Rate Analysis'!#REF!</definedName>
    <definedName name="sdsf" localSheetId="17" hidden="1">{"'Sheet1'!$A$4386:$N$4591"}</definedName>
    <definedName name="sdsf" hidden="1">{"'Sheet1'!$A$4386:$N$4591"}</definedName>
    <definedName name="sencount" hidden="1">1</definedName>
    <definedName name="sfdg" localSheetId="17" hidden="1">{"'Sheet1'!$A$4386:$N$4591"}</definedName>
    <definedName name="sfdg" hidden="1">{"'Sheet1'!$A$4386:$N$4591"}</definedName>
    <definedName name="sfrrsaegserdhg" localSheetId="17" hidden="1">{"'Sheet1'!$A$4386:$N$4591"}</definedName>
    <definedName name="sfrrsaegserdhg" hidden="1">{"'Sheet1'!$A$4386:$N$4591"}</definedName>
    <definedName name="sheet" localSheetId="17" hidden="1">#REF!</definedName>
    <definedName name="sheet" hidden="1">#REF!</definedName>
    <definedName name="sheet2" localSheetId="17" hidden="1">#REF!</definedName>
    <definedName name="sheet2" hidden="1">#REF!</definedName>
    <definedName name="sor" localSheetId="17" hidden="1">#REF!</definedName>
    <definedName name="sor" hidden="1">#REF!</definedName>
    <definedName name="ss" localSheetId="17" hidden="1">#REF!</definedName>
    <definedName name="ss" hidden="1">#REF!</definedName>
    <definedName name="sub" localSheetId="17" hidden="1">#REF!</definedName>
    <definedName name="sub" hidden="1">#REF!</definedName>
    <definedName name="Thiagarajan" localSheetId="17" hidden="1">{"'Sheet1'!$A$4386:$N$4591"}</definedName>
    <definedName name="Thiagarajan" hidden="1">{"'Sheet1'!$A$4386:$N$4591"}</definedName>
    <definedName name="uo" localSheetId="17" hidden="1">{"'Sheet1'!$A$4386:$N$4591"}</definedName>
    <definedName name="uo" hidden="1">{"'Sheet1'!$A$4386:$N$4591"}</definedName>
    <definedName name="vbmngchykj" localSheetId="17" hidden="1">'[5]Scaff-Rose'!#REF!</definedName>
    <definedName name="vbmngchykj" hidden="1">'[5]Scaff-Rose'!#REF!</definedName>
    <definedName name="wrn.Full._.Report." localSheetId="17" hidden="1">{#N/A,#N/A,TRUE,"Front";#N/A,#N/A,TRUE,"Simple Letter";#N/A,#N/A,TRUE,"Inside";#N/A,#N/A,TRUE,"Contents";#N/A,#N/A,TRUE,"Basis";#N/A,#N/A,TRUE,"Inclusions";#N/A,#N/A,TRUE,"Exclusions";#N/A,#N/A,TRUE,"Areas";#N/A,#N/A,TRUE,"Summary";#N/A,#N/A,TRUE,"Detail"}</definedName>
    <definedName name="wrn.Full._.Report." hidden="1">{#N/A,#N/A,TRUE,"Front";#N/A,#N/A,TRUE,"Simple Letter";#N/A,#N/A,TRUE,"Inside";#N/A,#N/A,TRUE,"Contents";#N/A,#N/A,TRUE,"Basis";#N/A,#N/A,TRUE,"Inclusions";#N/A,#N/A,TRUE,"Exclusions";#N/A,#N/A,TRUE,"Areas";#N/A,#N/A,TRUE,"Summary";#N/A,#N/A,TRUE,"Detail"}</definedName>
    <definedName name="xfh" localSheetId="17" hidden="1">{"'Sheet1'!$A$4386:$N$4591"}</definedName>
    <definedName name="xfh" hidden="1">{"'Sheet1'!$A$4386:$N$4591"}</definedName>
    <definedName name="xfhbfgjm" localSheetId="17" hidden="1">{"'Sheet1'!$A$4386:$N$4591"}</definedName>
    <definedName name="xfhbfgjm" hidden="1">{"'Sheet1'!$A$4386:$N$4591"}</definedName>
    <definedName name="xyb34rd" localSheetId="17" hidden="1">#REF!</definedName>
    <definedName name="xyb34rd" hidden="1">#REF!</definedName>
    <definedName name="yn" localSheetId="17" hidden="1">{"'Sheet1'!$A$4386:$N$4591"}</definedName>
    <definedName name="yn" hidden="1">{"'Sheet1'!$A$4386:$N$4591"}</definedName>
    <definedName name="z" localSheetId="17" hidden="1">#REF!</definedName>
    <definedName name="z" hidden="1">#REF!</definedName>
    <definedName name="Z_0C509CAE_4B28_497F_9463_E056D87AE422_.wvu.Rows" localSheetId="17" hidden="1">[5]Micro!#REF!</definedName>
    <definedName name="Z_0C509CAE_4B28_497F_9463_E056D87AE422_.wvu.Rows" hidden="1">[5]Micro!#REF!</definedName>
    <definedName name="Z_64FBE21F_D610_4122_B662_C1CA556F0E6B_.wvu.Rows" hidden="1">[5]Macro!$9:$47,[5]Macro!$49:$49</definedName>
    <definedName name="Z_821080B5_A53F_46D5_A7A8_C550E9A6DB8E_.wvu.Rows" localSheetId="17" hidden="1">'[5]Scaff-Rose'!#REF!</definedName>
    <definedName name="Z_821080B5_A53F_46D5_A7A8_C550E9A6DB8E_.wvu.Rows" hidden="1">'[5]Scaff-Rose'!#REF!</definedName>
    <definedName name="Z_89FC4C3A_6586_42BA_B0E6_F0959042E6A0_.wvu.Rows" localSheetId="17" hidden="1">'[5]Scaff-Rose'!#REF!</definedName>
    <definedName name="Z_89FC4C3A_6586_42BA_B0E6_F0959042E6A0_.wvu.Rows" hidden="1">'[5]Scaff-Rose'!#REF!</definedName>
    <definedName name="Z_E61184E6_4A82_48AD_BD46_AD03682B9E61_.wvu.Rows" localSheetId="17" hidden="1">[5]Micro!#REF!</definedName>
    <definedName name="Z_E61184E6_4A82_48AD_BD46_AD03682B9E61_.wvu.Rows" hidden="1">[5]Micro!#REF!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16" l="1"/>
  <c r="E6" i="5"/>
  <c r="E4" i="5"/>
  <c r="L34" i="16"/>
  <c r="L33" i="16"/>
  <c r="L32" i="16"/>
  <c r="L31" i="16"/>
  <c r="L30" i="16"/>
  <c r="L29" i="16"/>
  <c r="K29" i="16"/>
  <c r="K30" i="16"/>
  <c r="L9" i="16"/>
  <c r="L10" i="16"/>
  <c r="L12" i="16"/>
  <c r="L13" i="16"/>
  <c r="L14" i="16"/>
  <c r="M14" i="16" s="1"/>
  <c r="L16" i="16"/>
  <c r="L18" i="16"/>
  <c r="L19" i="16"/>
  <c r="L20" i="16"/>
  <c r="L21" i="16"/>
  <c r="L22" i="16"/>
  <c r="L23" i="16"/>
  <c r="L24" i="16"/>
  <c r="L25" i="16"/>
  <c r="Z284" i="22" l="1"/>
  <c r="Z286" i="21"/>
  <c r="Z283" i="20"/>
  <c r="E23" i="8"/>
  <c r="I26" i="7"/>
  <c r="I18" i="7"/>
  <c r="E12" i="5"/>
  <c r="E61" i="16" l="1"/>
  <c r="E43" i="16" l="1"/>
  <c r="Z270" i="20"/>
  <c r="E9" i="7"/>
  <c r="E106" i="40"/>
  <c r="E105" i="40"/>
  <c r="E6" i="7" s="1"/>
  <c r="AT8" i="22"/>
  <c r="AT12" i="22"/>
  <c r="AT13" i="22"/>
  <c r="AT16" i="22"/>
  <c r="AT17" i="22"/>
  <c r="AT19" i="22"/>
  <c r="AT22" i="22"/>
  <c r="AT23" i="22"/>
  <c r="AT25" i="22"/>
  <c r="AT28" i="22"/>
  <c r="AT29" i="22"/>
  <c r="AT31" i="22"/>
  <c r="AT32" i="22"/>
  <c r="AT34" i="22"/>
  <c r="AT37" i="22"/>
  <c r="AT39" i="22"/>
  <c r="AT40" i="22"/>
  <c r="AT46" i="22"/>
  <c r="AT47" i="22"/>
  <c r="AT48" i="22"/>
  <c r="AT53" i="22"/>
  <c r="AT54" i="22"/>
  <c r="AT67" i="22"/>
  <c r="AT68" i="22"/>
  <c r="AT87" i="22"/>
  <c r="AT88" i="22"/>
  <c r="AT107" i="22"/>
  <c r="AT108" i="22"/>
  <c r="AT110" i="22"/>
  <c r="AT114" i="22"/>
  <c r="AT116" i="22"/>
  <c r="AT117" i="22"/>
  <c r="AT119" i="22"/>
  <c r="AT120" i="22"/>
  <c r="AT122" i="22"/>
  <c r="AT125" i="22"/>
  <c r="AT127" i="22"/>
  <c r="AT128" i="22"/>
  <c r="AT130" i="22"/>
  <c r="AT131" i="22"/>
  <c r="AT137" i="22"/>
  <c r="AT138" i="22"/>
  <c r="AT142" i="22"/>
  <c r="AT143" i="22"/>
  <c r="AT144" i="22"/>
  <c r="AT147" i="22"/>
  <c r="AT148" i="22"/>
  <c r="AT150" i="22"/>
  <c r="AT153" i="22"/>
  <c r="AT154" i="22"/>
  <c r="AT156" i="22"/>
  <c r="AT159" i="22"/>
  <c r="AT160" i="22"/>
  <c r="AT163" i="22"/>
  <c r="AT166" i="22"/>
  <c r="AT168" i="22"/>
  <c r="AT169" i="22"/>
  <c r="AT170" i="22"/>
  <c r="AT172" i="22"/>
  <c r="AT177" i="22"/>
  <c r="AT178" i="22"/>
  <c r="AT180" i="22"/>
  <c r="AT184" i="22"/>
  <c r="AT185" i="22"/>
  <c r="AT187" i="22"/>
  <c r="AT191" i="22"/>
  <c r="AT192" i="22"/>
  <c r="AT194" i="22"/>
  <c r="AT196" i="22"/>
  <c r="AT202" i="22"/>
  <c r="AT203" i="22"/>
  <c r="AT206" i="22"/>
  <c r="AT209" i="22"/>
  <c r="AT210" i="22"/>
  <c r="AT214" i="22"/>
  <c r="AT215" i="22"/>
  <c r="AT224" i="22"/>
  <c r="AT225" i="22"/>
  <c r="AT234" i="22"/>
  <c r="AT235" i="22"/>
  <c r="AT238" i="22"/>
  <c r="AT240" i="22"/>
  <c r="AT241" i="22"/>
  <c r="AT243" i="22"/>
  <c r="AT246" i="22"/>
  <c r="AT247" i="22"/>
  <c r="AT249" i="22"/>
  <c r="AT252" i="22"/>
  <c r="AT253" i="22"/>
  <c r="AT255" i="22"/>
  <c r="AT257" i="22"/>
  <c r="AT258" i="22"/>
  <c r="AT260" i="22"/>
  <c r="AT261" i="22"/>
  <c r="AT263" i="22"/>
  <c r="AT266" i="22"/>
  <c r="AT267" i="22"/>
  <c r="AT271" i="22"/>
  <c r="AT276" i="21"/>
  <c r="AT8" i="21"/>
  <c r="AT12" i="21"/>
  <c r="AT13" i="21"/>
  <c r="AT16" i="21"/>
  <c r="AT17" i="21"/>
  <c r="AT19" i="21"/>
  <c r="AT22" i="21"/>
  <c r="AT23" i="21"/>
  <c r="AT25" i="21"/>
  <c r="AT28" i="21"/>
  <c r="AT29" i="21"/>
  <c r="AT31" i="21"/>
  <c r="AT32" i="21"/>
  <c r="AT33" i="21"/>
  <c r="AT35" i="21"/>
  <c r="AT38" i="21"/>
  <c r="AT40" i="21"/>
  <c r="AT41" i="21"/>
  <c r="AT47" i="21"/>
  <c r="AT48" i="21"/>
  <c r="AT49" i="21"/>
  <c r="AT53" i="21"/>
  <c r="AT55" i="21"/>
  <c r="AT56" i="21"/>
  <c r="AT57" i="21"/>
  <c r="AT70" i="21"/>
  <c r="AT71" i="21"/>
  <c r="AT90" i="21"/>
  <c r="AT91" i="21"/>
  <c r="AT110" i="21"/>
  <c r="AT111" i="21"/>
  <c r="AT113" i="21"/>
  <c r="AT117" i="21"/>
  <c r="AT119" i="21"/>
  <c r="AT120" i="21"/>
  <c r="AT122" i="21"/>
  <c r="AT123" i="21"/>
  <c r="AT125" i="21"/>
  <c r="AT128" i="21"/>
  <c r="AT130" i="21"/>
  <c r="AT131" i="21"/>
  <c r="AT133" i="21"/>
  <c r="AT134" i="21"/>
  <c r="AT140" i="21"/>
  <c r="AT141" i="21"/>
  <c r="AT146" i="21"/>
  <c r="AT147" i="21"/>
  <c r="AT150" i="21"/>
  <c r="AT151" i="21"/>
  <c r="AT153" i="21"/>
  <c r="AT156" i="21"/>
  <c r="AT157" i="21"/>
  <c r="AT159" i="21"/>
  <c r="AT162" i="21"/>
  <c r="AT163" i="21"/>
  <c r="AT166" i="21"/>
  <c r="AT169" i="21"/>
  <c r="AT171" i="21"/>
  <c r="AT172" i="21"/>
  <c r="AT173" i="21"/>
  <c r="AT175" i="21"/>
  <c r="AT180" i="21"/>
  <c r="AT181" i="21"/>
  <c r="AT183" i="21"/>
  <c r="AT187" i="21"/>
  <c r="AT188" i="21"/>
  <c r="AT190" i="21"/>
  <c r="AT194" i="21"/>
  <c r="AT195" i="21"/>
  <c r="AT197" i="21"/>
  <c r="AT199" i="21"/>
  <c r="AT203" i="21"/>
  <c r="AT204" i="21"/>
  <c r="AT207" i="21"/>
  <c r="AT210" i="21"/>
  <c r="AT211" i="21"/>
  <c r="AT215" i="21"/>
  <c r="AT216" i="21"/>
  <c r="AT225" i="21"/>
  <c r="AT226" i="21"/>
  <c r="AT235" i="21"/>
  <c r="AT236" i="21"/>
  <c r="AT239" i="21"/>
  <c r="AT241" i="21"/>
  <c r="AT242" i="21"/>
  <c r="AT244" i="21"/>
  <c r="AT247" i="21"/>
  <c r="AT248" i="21"/>
  <c r="AT250" i="21"/>
  <c r="AT253" i="21"/>
  <c r="AT254" i="21"/>
  <c r="AT256" i="21"/>
  <c r="AT258" i="21"/>
  <c r="AT261" i="21"/>
  <c r="AT262" i="21"/>
  <c r="AT264" i="21"/>
  <c r="AT267" i="21"/>
  <c r="AT268" i="21"/>
  <c r="AT272" i="21"/>
  <c r="AT273" i="21"/>
  <c r="AM269" i="22"/>
  <c r="AM265" i="22"/>
  <c r="AN232" i="22"/>
  <c r="AN231" i="22"/>
  <c r="AN227" i="22"/>
  <c r="AN226" i="22"/>
  <c r="AN222" i="22"/>
  <c r="AN221" i="22"/>
  <c r="AM219" i="22"/>
  <c r="AM189" i="22"/>
  <c r="AM183" i="22"/>
  <c r="AM175" i="22"/>
  <c r="AN104" i="22"/>
  <c r="AN103" i="22"/>
  <c r="AN101" i="22"/>
  <c r="AN100" i="22"/>
  <c r="AN90" i="22"/>
  <c r="AN84" i="22"/>
  <c r="AN83" i="22"/>
  <c r="AN81" i="22"/>
  <c r="AN80" i="22"/>
  <c r="AN70" i="22"/>
  <c r="AN64" i="22"/>
  <c r="AN63" i="22"/>
  <c r="AN61" i="22"/>
  <c r="AN60" i="22"/>
  <c r="AM50" i="22"/>
  <c r="AM270" i="21"/>
  <c r="AM266" i="21"/>
  <c r="AN233" i="21"/>
  <c r="AN232" i="21"/>
  <c r="AN228" i="21"/>
  <c r="AN227" i="21"/>
  <c r="AN223" i="21"/>
  <c r="AN222" i="21"/>
  <c r="AM220" i="21"/>
  <c r="AM186" i="21"/>
  <c r="AM178" i="21"/>
  <c r="AN107" i="21"/>
  <c r="AN106" i="21"/>
  <c r="AN104" i="21"/>
  <c r="AN103" i="21"/>
  <c r="AN93" i="21"/>
  <c r="AN87" i="21"/>
  <c r="AN86" i="21"/>
  <c r="AN84" i="21"/>
  <c r="AN83" i="21"/>
  <c r="AN73" i="21"/>
  <c r="AN67" i="21"/>
  <c r="AN66" i="21"/>
  <c r="AN64" i="21"/>
  <c r="AN63" i="21"/>
  <c r="AM51" i="21"/>
  <c r="AN229" i="20"/>
  <c r="AN228" i="20"/>
  <c r="AN226" i="20"/>
  <c r="AN225" i="20"/>
  <c r="AN224" i="20"/>
  <c r="E230" i="20"/>
  <c r="E229" i="20"/>
  <c r="E228" i="20"/>
  <c r="E225" i="20"/>
  <c r="E227" i="20"/>
  <c r="E226" i="20"/>
  <c r="E224" i="20"/>
  <c r="AN215" i="20"/>
  <c r="AN214" i="20"/>
  <c r="AM212" i="20"/>
  <c r="E214" i="20"/>
  <c r="E212" i="20"/>
  <c r="E210" i="20"/>
  <c r="E209" i="20"/>
  <c r="E207" i="20"/>
  <c r="E205" i="20"/>
  <c r="E216" i="20"/>
  <c r="E213" i="20"/>
  <c r="E211" i="20"/>
  <c r="E208" i="20"/>
  <c r="E206" i="20"/>
  <c r="E204" i="20"/>
  <c r="AM178" i="20"/>
  <c r="AM170" i="20"/>
  <c r="AN103" i="20"/>
  <c r="AN102" i="20"/>
  <c r="AN100" i="20"/>
  <c r="AN99" i="20"/>
  <c r="AN88" i="20"/>
  <c r="AN82" i="20"/>
  <c r="AN81" i="20"/>
  <c r="AN79" i="20"/>
  <c r="AN78" i="20"/>
  <c r="AN68" i="20"/>
  <c r="AN62" i="20"/>
  <c r="E62" i="20"/>
  <c r="E61" i="20"/>
  <c r="AN61" i="20"/>
  <c r="AN59" i="20"/>
  <c r="AN58" i="20"/>
  <c r="AM43" i="20"/>
  <c r="AK213" i="20"/>
  <c r="AK214" i="20"/>
  <c r="AK215" i="20"/>
  <c r="AK216" i="20"/>
  <c r="AH267" i="20"/>
  <c r="AH259" i="20"/>
  <c r="AH230" i="20"/>
  <c r="AH227" i="20"/>
  <c r="AH226" i="20"/>
  <c r="AH224" i="20"/>
  <c r="AH216" i="20"/>
  <c r="AH213" i="20"/>
  <c r="AH211" i="20"/>
  <c r="AH208" i="20"/>
  <c r="AH206" i="20"/>
  <c r="AH204" i="20"/>
  <c r="AH185" i="20"/>
  <c r="AH183" i="20"/>
  <c r="AH171" i="20"/>
  <c r="AH169" i="20"/>
  <c r="AH168" i="20"/>
  <c r="AH105" i="20"/>
  <c r="AH104" i="20"/>
  <c r="AH101" i="20"/>
  <c r="AH98" i="20"/>
  <c r="AH97" i="20"/>
  <c r="AH95" i="20"/>
  <c r="AH94" i="20"/>
  <c r="AH93" i="20"/>
  <c r="AH87" i="20"/>
  <c r="AH84" i="20"/>
  <c r="AH83" i="20"/>
  <c r="AH80" i="20"/>
  <c r="AH77" i="20"/>
  <c r="AH76" i="20"/>
  <c r="AH74" i="20"/>
  <c r="AH73" i="20"/>
  <c r="AH72" i="20"/>
  <c r="AH69" i="20"/>
  <c r="AH67" i="20"/>
  <c r="AH64" i="20"/>
  <c r="AH63" i="20"/>
  <c r="AH60" i="20"/>
  <c r="AH57" i="20"/>
  <c r="AH55" i="20"/>
  <c r="AH53" i="20"/>
  <c r="AH42" i="20"/>
  <c r="AH14" i="20"/>
  <c r="G257" i="22"/>
  <c r="G201" i="22"/>
  <c r="AT201" i="22" s="1"/>
  <c r="G199" i="22"/>
  <c r="AT199" i="22" s="1"/>
  <c r="G269" i="22"/>
  <c r="G265" i="22"/>
  <c r="G189" i="22"/>
  <c r="G183" i="22"/>
  <c r="G175" i="22"/>
  <c r="G136" i="22"/>
  <c r="AT136" i="22" s="1"/>
  <c r="G134" i="22"/>
  <c r="AT134" i="22" s="1"/>
  <c r="G262" i="22"/>
  <c r="AT262" i="22" s="1"/>
  <c r="AL258" i="22"/>
  <c r="AI258" i="22"/>
  <c r="AF258" i="22"/>
  <c r="Z258" i="22"/>
  <c r="W258" i="22"/>
  <c r="AB258" i="22" s="1"/>
  <c r="R258" i="22"/>
  <c r="O258" i="22"/>
  <c r="L258" i="22"/>
  <c r="H258" i="22"/>
  <c r="AA258" i="22" s="1"/>
  <c r="G256" i="22"/>
  <c r="AT256" i="22" s="1"/>
  <c r="AM201" i="22"/>
  <c r="AL201" i="22"/>
  <c r="AF201" i="22"/>
  <c r="Z201" i="22"/>
  <c r="R201" i="22"/>
  <c r="O201" i="22"/>
  <c r="L201" i="22"/>
  <c r="H201" i="22"/>
  <c r="G200" i="22"/>
  <c r="AT200" i="22" s="1"/>
  <c r="R200" i="22"/>
  <c r="P200" i="22"/>
  <c r="O200" i="22"/>
  <c r="L200" i="22"/>
  <c r="H200" i="22"/>
  <c r="AI201" i="22" l="1"/>
  <c r="E34" i="16"/>
  <c r="E107" i="40"/>
  <c r="AH273" i="20"/>
  <c r="AE258" i="22"/>
  <c r="Q200" i="22"/>
  <c r="T201" i="22"/>
  <c r="K258" i="22"/>
  <c r="Q258" i="22"/>
  <c r="Y258" i="22"/>
  <c r="K200" i="22"/>
  <c r="T200" i="22"/>
  <c r="T258" i="22"/>
  <c r="N258" i="22"/>
  <c r="Q201" i="22"/>
  <c r="AK201" i="22"/>
  <c r="W201" i="22"/>
  <c r="AA201" i="22"/>
  <c r="N201" i="22"/>
  <c r="K201" i="22"/>
  <c r="N200" i="22"/>
  <c r="G236" i="22"/>
  <c r="AT236" i="22" s="1"/>
  <c r="G239" i="22"/>
  <c r="AT239" i="22" s="1"/>
  <c r="G237" i="22"/>
  <c r="AT237" i="22" s="1"/>
  <c r="F227" i="22"/>
  <c r="E227" i="22"/>
  <c r="AT227" i="22" s="1"/>
  <c r="F232" i="22"/>
  <c r="E232" i="22"/>
  <c r="AT232" i="22" s="1"/>
  <c r="F229" i="22"/>
  <c r="E229" i="22"/>
  <c r="F231" i="22"/>
  <c r="E231" i="22"/>
  <c r="AT231" i="22" s="1"/>
  <c r="F233" i="22"/>
  <c r="E233" i="22"/>
  <c r="F230" i="22"/>
  <c r="E230" i="22"/>
  <c r="F228" i="22"/>
  <c r="E228" i="22"/>
  <c r="F226" i="22"/>
  <c r="E226" i="22"/>
  <c r="F222" i="22"/>
  <c r="E222" i="22"/>
  <c r="AT222" i="22" s="1"/>
  <c r="F221" i="22"/>
  <c r="E221" i="22"/>
  <c r="AT221" i="22" s="1"/>
  <c r="F219" i="22"/>
  <c r="E219" i="22"/>
  <c r="F217" i="22"/>
  <c r="E217" i="22"/>
  <c r="AT217" i="22" s="1"/>
  <c r="F223" i="22"/>
  <c r="E223" i="22"/>
  <c r="F220" i="22"/>
  <c r="E220" i="22"/>
  <c r="F218" i="22"/>
  <c r="E218" i="22"/>
  <c r="F216" i="22"/>
  <c r="E216" i="22"/>
  <c r="R215" i="22"/>
  <c r="O215" i="22"/>
  <c r="M215" i="22"/>
  <c r="L215" i="22"/>
  <c r="H215" i="22"/>
  <c r="Q215" i="22" s="1"/>
  <c r="R215" i="21"/>
  <c r="R216" i="21"/>
  <c r="O216" i="21"/>
  <c r="L216" i="21"/>
  <c r="M216" i="21"/>
  <c r="H216" i="21"/>
  <c r="Q216" i="21" s="1"/>
  <c r="G213" i="22"/>
  <c r="AT213" i="22" s="1"/>
  <c r="E212" i="22"/>
  <c r="AT212" i="22" s="1"/>
  <c r="F212" i="22"/>
  <c r="F211" i="22"/>
  <c r="E211" i="22"/>
  <c r="G198" i="22"/>
  <c r="AT198" i="22" s="1"/>
  <c r="E197" i="22"/>
  <c r="AT197" i="22" s="1"/>
  <c r="AI197" i="22"/>
  <c r="AF197" i="22"/>
  <c r="Z197" i="22"/>
  <c r="W197" i="22"/>
  <c r="AB197" i="22" s="1"/>
  <c r="R197" i="22"/>
  <c r="O197" i="22"/>
  <c r="L197" i="22"/>
  <c r="H197" i="22"/>
  <c r="G195" i="22"/>
  <c r="AT195" i="22" s="1"/>
  <c r="AT219" i="22" l="1"/>
  <c r="AT229" i="22"/>
  <c r="N216" i="21"/>
  <c r="K216" i="21"/>
  <c r="S258" i="22"/>
  <c r="S200" i="22"/>
  <c r="Y197" i="22"/>
  <c r="T215" i="22"/>
  <c r="K215" i="22"/>
  <c r="N215" i="22"/>
  <c r="S201" i="22"/>
  <c r="AB201" i="22"/>
  <c r="AE201" i="22"/>
  <c r="Y201" i="22"/>
  <c r="T197" i="22"/>
  <c r="T216" i="21"/>
  <c r="Q197" i="22"/>
  <c r="AE197" i="22"/>
  <c r="N197" i="22"/>
  <c r="AA197" i="22"/>
  <c r="K197" i="22"/>
  <c r="G165" i="22"/>
  <c r="AT165" i="22" s="1"/>
  <c r="AI165" i="22"/>
  <c r="G168" i="21"/>
  <c r="AT168" i="21" s="1"/>
  <c r="F164" i="22"/>
  <c r="E164" i="22"/>
  <c r="AN167" i="22"/>
  <c r="AL167" i="22"/>
  <c r="AL166" i="22"/>
  <c r="AI166" i="22"/>
  <c r="AF166" i="22"/>
  <c r="Z166" i="22"/>
  <c r="W166" i="22"/>
  <c r="AN165" i="22"/>
  <c r="AL165" i="22"/>
  <c r="AN164" i="22"/>
  <c r="AL164" i="22"/>
  <c r="AL163" i="22"/>
  <c r="AI163" i="22"/>
  <c r="AF163" i="22"/>
  <c r="Z163" i="22"/>
  <c r="W163" i="22"/>
  <c r="AL162" i="22"/>
  <c r="Z162" i="22"/>
  <c r="AN161" i="22"/>
  <c r="AL161" i="22"/>
  <c r="R167" i="22"/>
  <c r="P167" i="22"/>
  <c r="O167" i="22"/>
  <c r="L167" i="22"/>
  <c r="H167" i="22"/>
  <c r="G167" i="22"/>
  <c r="AI167" i="22" s="1"/>
  <c r="R166" i="22"/>
  <c r="O166" i="22"/>
  <c r="L166" i="22"/>
  <c r="H166" i="22"/>
  <c r="K166" i="22" s="1"/>
  <c r="R165" i="22"/>
  <c r="P165" i="22"/>
  <c r="O165" i="22"/>
  <c r="L165" i="22"/>
  <c r="H165" i="22"/>
  <c r="R164" i="22"/>
  <c r="P164" i="22"/>
  <c r="O164" i="22"/>
  <c r="L164" i="22"/>
  <c r="H164" i="22"/>
  <c r="G164" i="22"/>
  <c r="K164" i="22" s="1"/>
  <c r="R163" i="22"/>
  <c r="O163" i="22"/>
  <c r="L163" i="22"/>
  <c r="H163" i="22"/>
  <c r="Q163" i="22" s="1"/>
  <c r="R162" i="22"/>
  <c r="P162" i="22"/>
  <c r="O162" i="22"/>
  <c r="L162" i="22"/>
  <c r="H162" i="22"/>
  <c r="G162" i="22"/>
  <c r="R161" i="22"/>
  <c r="P161" i="22"/>
  <c r="O161" i="22"/>
  <c r="L161" i="22"/>
  <c r="H161" i="22"/>
  <c r="G161" i="22"/>
  <c r="G146" i="22"/>
  <c r="AT146" i="22" s="1"/>
  <c r="G145" i="22"/>
  <c r="AT145" i="22" s="1"/>
  <c r="AL143" i="22"/>
  <c r="AK143" i="22"/>
  <c r="AM142" i="22"/>
  <c r="AL142" i="22"/>
  <c r="AF142" i="22"/>
  <c r="Z142" i="22"/>
  <c r="R142" i="22"/>
  <c r="O142" i="22"/>
  <c r="L142" i="22"/>
  <c r="H142" i="22"/>
  <c r="AK142" i="22"/>
  <c r="AM145" i="21"/>
  <c r="AL145" i="21"/>
  <c r="AF145" i="21"/>
  <c r="Z145" i="21"/>
  <c r="R145" i="21"/>
  <c r="O145" i="21"/>
  <c r="L145" i="21"/>
  <c r="H145" i="21"/>
  <c r="G145" i="21"/>
  <c r="AI145" i="21" l="1"/>
  <c r="AT145" i="21"/>
  <c r="S216" i="21"/>
  <c r="AT164" i="22"/>
  <c r="Q167" i="22"/>
  <c r="AT167" i="22"/>
  <c r="AK161" i="22"/>
  <c r="AT161" i="22"/>
  <c r="AK165" i="22"/>
  <c r="AK162" i="22"/>
  <c r="AT162" i="22"/>
  <c r="AI164" i="22"/>
  <c r="T145" i="21"/>
  <c r="T166" i="22"/>
  <c r="T167" i="22"/>
  <c r="AE166" i="22"/>
  <c r="S215" i="22"/>
  <c r="AK164" i="22"/>
  <c r="AA166" i="22"/>
  <c r="T142" i="22"/>
  <c r="K161" i="22"/>
  <c r="AI161" i="22"/>
  <c r="Y166" i="22"/>
  <c r="AB166" i="22"/>
  <c r="AK167" i="22"/>
  <c r="W142" i="22"/>
  <c r="AE142" i="22" s="1"/>
  <c r="AI142" i="22"/>
  <c r="T161" i="22"/>
  <c r="W162" i="22"/>
  <c r="AB162" i="22" s="1"/>
  <c r="AA162" i="22"/>
  <c r="T162" i="22"/>
  <c r="Q162" i="22"/>
  <c r="T163" i="22"/>
  <c r="AE163" i="22"/>
  <c r="AA163" i="22"/>
  <c r="Y163" i="22"/>
  <c r="S197" i="22"/>
  <c r="T165" i="22"/>
  <c r="K165" i="22"/>
  <c r="T164" i="22"/>
  <c r="AB163" i="22"/>
  <c r="N161" i="22"/>
  <c r="Q161" i="22"/>
  <c r="K162" i="22"/>
  <c r="N163" i="22"/>
  <c r="N165" i="22"/>
  <c r="Q165" i="22"/>
  <c r="Q166" i="22"/>
  <c r="K167" i="22"/>
  <c r="K163" i="22"/>
  <c r="N164" i="22"/>
  <c r="Q164" i="22"/>
  <c r="N166" i="22"/>
  <c r="N162" i="22"/>
  <c r="N167" i="22"/>
  <c r="N142" i="22"/>
  <c r="AA142" i="22"/>
  <c r="K142" i="22"/>
  <c r="AB142" i="22"/>
  <c r="Q142" i="22"/>
  <c r="AK145" i="21"/>
  <c r="N145" i="21"/>
  <c r="W145" i="21"/>
  <c r="AA145" i="21"/>
  <c r="Q145" i="21"/>
  <c r="K145" i="21"/>
  <c r="G124" i="22"/>
  <c r="AT124" i="22" s="1"/>
  <c r="G127" i="21"/>
  <c r="AT127" i="21" s="1"/>
  <c r="R126" i="22"/>
  <c r="P126" i="22"/>
  <c r="O126" i="22"/>
  <c r="L126" i="22"/>
  <c r="H126" i="22"/>
  <c r="G126" i="22"/>
  <c r="AT126" i="22" s="1"/>
  <c r="G123" i="22"/>
  <c r="AT123" i="22" s="1"/>
  <c r="G113" i="22"/>
  <c r="AT113" i="22" s="1"/>
  <c r="G118" i="22"/>
  <c r="AT118" i="22" s="1"/>
  <c r="R115" i="22"/>
  <c r="P115" i="22"/>
  <c r="O115" i="22"/>
  <c r="L115" i="22"/>
  <c r="H115" i="22"/>
  <c r="G115" i="22"/>
  <c r="AT115" i="22" s="1"/>
  <c r="S167" i="22" l="1"/>
  <c r="S142" i="22"/>
  <c r="S162" i="22"/>
  <c r="S166" i="22"/>
  <c r="S163" i="22"/>
  <c r="Y162" i="22"/>
  <c r="K115" i="22"/>
  <c r="Q126" i="22"/>
  <c r="T126" i="22"/>
  <c r="Q115" i="22"/>
  <c r="T115" i="22"/>
  <c r="K126" i="22"/>
  <c r="S161" i="22"/>
  <c r="Y142" i="22"/>
  <c r="S165" i="22"/>
  <c r="S164" i="22"/>
  <c r="AB145" i="21"/>
  <c r="AE145" i="21"/>
  <c r="Y145" i="21"/>
  <c r="S145" i="21"/>
  <c r="N126" i="22"/>
  <c r="N115" i="22"/>
  <c r="F104" i="22"/>
  <c r="E104" i="22"/>
  <c r="AT104" i="22" s="1"/>
  <c r="F103" i="22"/>
  <c r="E103" i="22"/>
  <c r="AT103" i="22" s="1"/>
  <c r="F101" i="22"/>
  <c r="E101" i="22"/>
  <c r="AT101" i="22" s="1"/>
  <c r="F100" i="22"/>
  <c r="E100" i="22"/>
  <c r="F97" i="22"/>
  <c r="E97" i="22"/>
  <c r="AT97" i="22" s="1"/>
  <c r="F93" i="22"/>
  <c r="E93" i="22"/>
  <c r="AT93" i="22" s="1"/>
  <c r="F90" i="22"/>
  <c r="E90" i="22"/>
  <c r="AT90" i="22" s="1"/>
  <c r="F106" i="22"/>
  <c r="E106" i="22"/>
  <c r="F105" i="22"/>
  <c r="E105" i="22"/>
  <c r="F102" i="22"/>
  <c r="E102" i="22"/>
  <c r="F99" i="22"/>
  <c r="E99" i="22"/>
  <c r="F98" i="22"/>
  <c r="E98" i="22"/>
  <c r="F96" i="22"/>
  <c r="E96" i="22"/>
  <c r="F95" i="22"/>
  <c r="E95" i="22"/>
  <c r="F94" i="22"/>
  <c r="E94" i="22"/>
  <c r="F92" i="22"/>
  <c r="E92" i="22"/>
  <c r="F91" i="22"/>
  <c r="E91" i="22"/>
  <c r="F89" i="22"/>
  <c r="E89" i="22"/>
  <c r="F84" i="22"/>
  <c r="F83" i="22"/>
  <c r="E84" i="22"/>
  <c r="AT84" i="22" s="1"/>
  <c r="E83" i="22"/>
  <c r="F81" i="22"/>
  <c r="E81" i="22"/>
  <c r="AT81" i="22" s="1"/>
  <c r="F80" i="22"/>
  <c r="E80" i="22"/>
  <c r="AT80" i="22" s="1"/>
  <c r="F77" i="22"/>
  <c r="E77" i="22"/>
  <c r="AT77" i="22" s="1"/>
  <c r="F73" i="22"/>
  <c r="E73" i="22"/>
  <c r="F70" i="22"/>
  <c r="E70" i="22"/>
  <c r="AT70" i="22" s="1"/>
  <c r="F86" i="22"/>
  <c r="E86" i="22"/>
  <c r="F85" i="22"/>
  <c r="E85" i="22"/>
  <c r="F82" i="22"/>
  <c r="E82" i="22"/>
  <c r="F79" i="22"/>
  <c r="E79" i="22"/>
  <c r="F78" i="22"/>
  <c r="E78" i="22"/>
  <c r="F76" i="22"/>
  <c r="E76" i="22"/>
  <c r="F75" i="22"/>
  <c r="E75" i="22"/>
  <c r="F74" i="22"/>
  <c r="E74" i="22"/>
  <c r="F72" i="22"/>
  <c r="E72" i="22"/>
  <c r="F71" i="22"/>
  <c r="E71" i="22"/>
  <c r="F69" i="22"/>
  <c r="E69" i="22"/>
  <c r="F56" i="22"/>
  <c r="E56" i="22"/>
  <c r="AT56" i="22" s="1"/>
  <c r="AI53" i="22"/>
  <c r="AF53" i="22"/>
  <c r="Z53" i="22"/>
  <c r="W53" i="22"/>
  <c r="AB53" i="22" s="1"/>
  <c r="R53" i="22"/>
  <c r="O53" i="22"/>
  <c r="L53" i="22"/>
  <c r="H53" i="22"/>
  <c r="AA53" i="22" s="1"/>
  <c r="G52" i="22"/>
  <c r="AT52" i="22" s="1"/>
  <c r="F64" i="22"/>
  <c r="E64" i="22"/>
  <c r="F63" i="22"/>
  <c r="E63" i="22"/>
  <c r="AT63" i="22" s="1"/>
  <c r="F61" i="22"/>
  <c r="E61" i="22"/>
  <c r="AT61" i="22" s="1"/>
  <c r="F60" i="22"/>
  <c r="E60" i="22"/>
  <c r="F66" i="22"/>
  <c r="E66" i="22"/>
  <c r="F65" i="22"/>
  <c r="E65" i="22"/>
  <c r="F62" i="22"/>
  <c r="E62" i="22"/>
  <c r="F59" i="22"/>
  <c r="E59" i="22"/>
  <c r="F58" i="22"/>
  <c r="E58" i="22"/>
  <c r="F55" i="22"/>
  <c r="E55" i="22"/>
  <c r="F57" i="22"/>
  <c r="E57" i="22"/>
  <c r="F50" i="22"/>
  <c r="E50" i="22"/>
  <c r="F49" i="22"/>
  <c r="E49" i="22"/>
  <c r="G33" i="22"/>
  <c r="AT33" i="22" s="1"/>
  <c r="AT73" i="22" l="1"/>
  <c r="AT83" i="22"/>
  <c r="AT100" i="22"/>
  <c r="S115" i="22"/>
  <c r="AT64" i="22"/>
  <c r="AT50" i="22"/>
  <c r="AT60" i="22"/>
  <c r="S126" i="22"/>
  <c r="T53" i="22"/>
  <c r="N53" i="22"/>
  <c r="K53" i="22"/>
  <c r="Y53" i="22"/>
  <c r="Q53" i="22"/>
  <c r="AE53" i="22"/>
  <c r="E11" i="22"/>
  <c r="F11" i="22"/>
  <c r="F10" i="22"/>
  <c r="E10" i="22"/>
  <c r="S53" i="22" l="1"/>
  <c r="F218" i="21"/>
  <c r="E218" i="21"/>
  <c r="AT218" i="21" s="1"/>
  <c r="F107" i="21"/>
  <c r="F106" i="21"/>
  <c r="F103" i="21"/>
  <c r="E103" i="21"/>
  <c r="F100" i="21"/>
  <c r="E100" i="21"/>
  <c r="AT100" i="21" s="1"/>
  <c r="F96" i="21"/>
  <c r="E96" i="21"/>
  <c r="AT96" i="21" s="1"/>
  <c r="F93" i="21"/>
  <c r="E93" i="21"/>
  <c r="AT93" i="21" s="1"/>
  <c r="G270" i="21"/>
  <c r="G266" i="21"/>
  <c r="G259" i="21"/>
  <c r="AT259" i="21" s="1"/>
  <c r="G201" i="21"/>
  <c r="G192" i="21"/>
  <c r="G186" i="21"/>
  <c r="G178" i="21"/>
  <c r="G139" i="21"/>
  <c r="AT139" i="21" s="1"/>
  <c r="G137" i="21"/>
  <c r="AT137" i="21" s="1"/>
  <c r="P55" i="21"/>
  <c r="AT103" i="21" l="1"/>
  <c r="G269" i="21"/>
  <c r="F269" i="21"/>
  <c r="E269" i="21"/>
  <c r="AT269" i="21" s="1"/>
  <c r="AL258" i="21"/>
  <c r="AI258" i="21"/>
  <c r="AF258" i="21"/>
  <c r="Z258" i="21"/>
  <c r="W258" i="21"/>
  <c r="R258" i="21"/>
  <c r="O258" i="21"/>
  <c r="L258" i="21"/>
  <c r="H258" i="21"/>
  <c r="Q258" i="21" s="1"/>
  <c r="G257" i="21"/>
  <c r="AT257" i="21" s="1"/>
  <c r="G255" i="21"/>
  <c r="AT255" i="21" s="1"/>
  <c r="E201" i="21"/>
  <c r="AT201" i="21" s="1"/>
  <c r="F200" i="21"/>
  <c r="E200" i="21"/>
  <c r="G200" i="21"/>
  <c r="P202" i="21"/>
  <c r="G202" i="21"/>
  <c r="AT202" i="21" s="1"/>
  <c r="H202" i="21"/>
  <c r="L202" i="21"/>
  <c r="O202" i="21"/>
  <c r="R202" i="21"/>
  <c r="G251" i="21"/>
  <c r="AT251" i="21" s="1"/>
  <c r="G245" i="21"/>
  <c r="AT245" i="21" s="1"/>
  <c r="G240" i="21"/>
  <c r="AT240" i="21" s="1"/>
  <c r="G237" i="21"/>
  <c r="AT237" i="21" s="1"/>
  <c r="G238" i="21"/>
  <c r="AT238" i="21" s="1"/>
  <c r="F233" i="21"/>
  <c r="E233" i="21"/>
  <c r="AT233" i="21" s="1"/>
  <c r="F232" i="21"/>
  <c r="E232" i="21"/>
  <c r="AT232" i="21" s="1"/>
  <c r="F228" i="21"/>
  <c r="E228" i="21"/>
  <c r="AT228" i="21" s="1"/>
  <c r="F230" i="21"/>
  <c r="E230" i="21"/>
  <c r="AT230" i="21" s="1"/>
  <c r="F234" i="21"/>
  <c r="E234" i="21"/>
  <c r="F231" i="21"/>
  <c r="E231" i="21"/>
  <c r="F229" i="21"/>
  <c r="E229" i="21"/>
  <c r="F227" i="21"/>
  <c r="E227" i="21"/>
  <c r="F220" i="21"/>
  <c r="E220" i="21"/>
  <c r="AT220" i="21" s="1"/>
  <c r="F222" i="21"/>
  <c r="E222" i="21"/>
  <c r="AT222" i="21" s="1"/>
  <c r="F223" i="21"/>
  <c r="E223" i="21"/>
  <c r="AT223" i="21" s="1"/>
  <c r="F224" i="21"/>
  <c r="E224" i="21"/>
  <c r="F221" i="21"/>
  <c r="E221" i="21"/>
  <c r="F219" i="21"/>
  <c r="E219" i="21"/>
  <c r="F217" i="21"/>
  <c r="E217" i="21"/>
  <c r="G214" i="21"/>
  <c r="AT214" i="21" s="1"/>
  <c r="F213" i="21"/>
  <c r="E213" i="21"/>
  <c r="AT213" i="21" s="1"/>
  <c r="F212" i="21"/>
  <c r="E212" i="21"/>
  <c r="G198" i="21"/>
  <c r="AT198" i="21" s="1"/>
  <c r="N202" i="21" l="1"/>
  <c r="AT200" i="21"/>
  <c r="AE258" i="21"/>
  <c r="Q202" i="21"/>
  <c r="K202" i="21"/>
  <c r="T202" i="21"/>
  <c r="T258" i="21"/>
  <c r="N258" i="21"/>
  <c r="K258" i="21"/>
  <c r="Y258" i="21"/>
  <c r="AB258" i="21"/>
  <c r="AA258" i="21"/>
  <c r="S202" i="21" l="1"/>
  <c r="S258" i="21"/>
  <c r="G170" i="21" l="1"/>
  <c r="AT170" i="21" s="1"/>
  <c r="G165" i="21"/>
  <c r="AT165" i="21" s="1"/>
  <c r="G149" i="21" l="1"/>
  <c r="AT149" i="21" s="1"/>
  <c r="G144" i="21"/>
  <c r="AT144" i="21" s="1"/>
  <c r="G143" i="21" l="1"/>
  <c r="AT143" i="21" s="1"/>
  <c r="G129" i="21"/>
  <c r="AT129" i="21" s="1"/>
  <c r="AL129" i="21"/>
  <c r="R129" i="21"/>
  <c r="P129" i="21"/>
  <c r="O129" i="21"/>
  <c r="L129" i="21"/>
  <c r="H129" i="21"/>
  <c r="G126" i="21"/>
  <c r="AT126" i="21" s="1"/>
  <c r="G121" i="21"/>
  <c r="AT121" i="21" s="1"/>
  <c r="G116" i="21"/>
  <c r="AT116" i="21" s="1"/>
  <c r="AL116" i="21"/>
  <c r="R116" i="21"/>
  <c r="O116" i="21"/>
  <c r="L116" i="21"/>
  <c r="H116" i="21"/>
  <c r="G118" i="21"/>
  <c r="AT118" i="21" s="1"/>
  <c r="AL118" i="21"/>
  <c r="R118" i="21"/>
  <c r="P118" i="21"/>
  <c r="O118" i="21"/>
  <c r="L118" i="21"/>
  <c r="H118" i="21"/>
  <c r="Q118" i="21" s="1"/>
  <c r="F109" i="21"/>
  <c r="E109" i="21"/>
  <c r="F108" i="21"/>
  <c r="E108" i="21"/>
  <c r="E107" i="21"/>
  <c r="AT107" i="21" s="1"/>
  <c r="E106" i="21"/>
  <c r="AT106" i="21" s="1"/>
  <c r="F105" i="21"/>
  <c r="E105" i="21"/>
  <c r="F104" i="21"/>
  <c r="E104" i="21"/>
  <c r="AT104" i="21" s="1"/>
  <c r="F102" i="21"/>
  <c r="E102" i="21"/>
  <c r="F101" i="21"/>
  <c r="E101" i="21"/>
  <c r="F99" i="21"/>
  <c r="E99" i="21"/>
  <c r="F98" i="21"/>
  <c r="E98" i="21"/>
  <c r="F97" i="21"/>
  <c r="E97" i="21"/>
  <c r="F95" i="21"/>
  <c r="E95" i="21"/>
  <c r="F94" i="21"/>
  <c r="E94" i="21"/>
  <c r="F92" i="21"/>
  <c r="E92" i="21"/>
  <c r="F87" i="21"/>
  <c r="E87" i="21"/>
  <c r="AT87" i="21" s="1"/>
  <c r="F86" i="21"/>
  <c r="E86" i="21"/>
  <c r="F84" i="21"/>
  <c r="E84" i="21"/>
  <c r="AT84" i="21" s="1"/>
  <c r="F83" i="21"/>
  <c r="E83" i="21"/>
  <c r="AT83" i="21" s="1"/>
  <c r="F81" i="21"/>
  <c r="E81" i="21"/>
  <c r="F80" i="21"/>
  <c r="E80" i="21"/>
  <c r="F77" i="21"/>
  <c r="E77" i="21"/>
  <c r="F76" i="21"/>
  <c r="E76" i="21"/>
  <c r="AT76" i="21" s="1"/>
  <c r="F78" i="21"/>
  <c r="E78" i="21"/>
  <c r="F79" i="21"/>
  <c r="E79" i="21"/>
  <c r="F82" i="21"/>
  <c r="E82" i="21"/>
  <c r="F85" i="21"/>
  <c r="E85" i="21"/>
  <c r="F88" i="21"/>
  <c r="E88" i="21"/>
  <c r="F89" i="21"/>
  <c r="E89" i="21"/>
  <c r="F75" i="21"/>
  <c r="E75" i="21"/>
  <c r="F74" i="21"/>
  <c r="E74" i="21"/>
  <c r="F73" i="21"/>
  <c r="E73" i="21"/>
  <c r="AT73" i="21" s="1"/>
  <c r="F72" i="21"/>
  <c r="E72" i="21"/>
  <c r="E59" i="21"/>
  <c r="F59" i="21"/>
  <c r="E58" i="21"/>
  <c r="F58" i="21"/>
  <c r="AI57" i="21"/>
  <c r="AF57" i="21"/>
  <c r="Z57" i="21"/>
  <c r="W57" i="21"/>
  <c r="AB57" i="21" s="1"/>
  <c r="R57" i="21"/>
  <c r="O57" i="21"/>
  <c r="L57" i="21"/>
  <c r="H57" i="21"/>
  <c r="AI55" i="21"/>
  <c r="AF55" i="21"/>
  <c r="Z55" i="21"/>
  <c r="W55" i="21"/>
  <c r="AB55" i="21" s="1"/>
  <c r="R55" i="21"/>
  <c r="O55" i="21"/>
  <c r="L55" i="21"/>
  <c r="H55" i="21"/>
  <c r="Q55" i="21" s="1"/>
  <c r="G54" i="21"/>
  <c r="AT54" i="21" s="1"/>
  <c r="AI53" i="21"/>
  <c r="AF53" i="21"/>
  <c r="Z53" i="21"/>
  <c r="W53" i="21"/>
  <c r="AB53" i="21" s="1"/>
  <c r="R53" i="21"/>
  <c r="O53" i="21"/>
  <c r="L53" i="21"/>
  <c r="H53" i="21"/>
  <c r="F52" i="21"/>
  <c r="E52" i="21"/>
  <c r="E64" i="21"/>
  <c r="AT64" i="21" s="1"/>
  <c r="E67" i="21"/>
  <c r="AT67" i="21" s="1"/>
  <c r="E66" i="21"/>
  <c r="AT66" i="21" s="1"/>
  <c r="F66" i="21"/>
  <c r="F67" i="21"/>
  <c r="F64" i="21"/>
  <c r="F63" i="21"/>
  <c r="E63" i="21"/>
  <c r="AT63" i="21" s="1"/>
  <c r="F69" i="21"/>
  <c r="E69" i="21"/>
  <c r="F68" i="21"/>
  <c r="E68" i="21"/>
  <c r="F65" i="21"/>
  <c r="E65" i="21"/>
  <c r="F62" i="21"/>
  <c r="E62" i="21"/>
  <c r="F61" i="21"/>
  <c r="E61" i="21"/>
  <c r="F60" i="21"/>
  <c r="E60" i="21"/>
  <c r="F51" i="21"/>
  <c r="E51" i="21"/>
  <c r="F50" i="21"/>
  <c r="E50" i="21"/>
  <c r="G34" i="21"/>
  <c r="AT34" i="21" s="1"/>
  <c r="AM31" i="21"/>
  <c r="AL31" i="21"/>
  <c r="AK31" i="21"/>
  <c r="AI31" i="21"/>
  <c r="AF31" i="21"/>
  <c r="Z31" i="21"/>
  <c r="W31" i="21"/>
  <c r="V31" i="21"/>
  <c r="R31" i="21"/>
  <c r="O31" i="21"/>
  <c r="L31" i="21"/>
  <c r="H31" i="21"/>
  <c r="Q31" i="21" s="1"/>
  <c r="G30" i="21"/>
  <c r="AT30" i="21" s="1"/>
  <c r="G27" i="21"/>
  <c r="AT27" i="21" s="1"/>
  <c r="E11" i="21"/>
  <c r="F11" i="21"/>
  <c r="F10" i="21"/>
  <c r="E10" i="21"/>
  <c r="AT80" i="21" l="1"/>
  <c r="AT86" i="21"/>
  <c r="AT59" i="21"/>
  <c r="AT51" i="21"/>
  <c r="N116" i="21"/>
  <c r="Q129" i="21"/>
  <c r="N31" i="21"/>
  <c r="Y53" i="21"/>
  <c r="Q116" i="21"/>
  <c r="T129" i="21"/>
  <c r="K129" i="21"/>
  <c r="AI129" i="21"/>
  <c r="AK129" i="21"/>
  <c r="N129" i="21"/>
  <c r="S129" i="21" s="1"/>
  <c r="AA31" i="21"/>
  <c r="AE31" i="21"/>
  <c r="Y57" i="21"/>
  <c r="K116" i="21"/>
  <c r="T116" i="21"/>
  <c r="T57" i="21"/>
  <c r="AI116" i="21"/>
  <c r="AK116" i="21"/>
  <c r="T118" i="21"/>
  <c r="K118" i="21"/>
  <c r="AI118" i="21"/>
  <c r="AK118" i="21"/>
  <c r="T53" i="21"/>
  <c r="T55" i="21"/>
  <c r="N118" i="21"/>
  <c r="Q57" i="21"/>
  <c r="AE57" i="21"/>
  <c r="AA55" i="21"/>
  <c r="N57" i="21"/>
  <c r="AA57" i="21"/>
  <c r="K57" i="21"/>
  <c r="AE55" i="21"/>
  <c r="Y55" i="21"/>
  <c r="N55" i="21"/>
  <c r="K55" i="21"/>
  <c r="Q53" i="21"/>
  <c r="AE53" i="21"/>
  <c r="N53" i="21"/>
  <c r="AA53" i="21"/>
  <c r="K53" i="21"/>
  <c r="T31" i="21"/>
  <c r="Y31" i="21"/>
  <c r="AB31" i="21"/>
  <c r="K31" i="21"/>
  <c r="G122" i="20"/>
  <c r="G113" i="20"/>
  <c r="F268" i="20"/>
  <c r="E268" i="20"/>
  <c r="G8" i="20"/>
  <c r="M48" i="6"/>
  <c r="L48" i="6"/>
  <c r="K48" i="6"/>
  <c r="J48" i="6"/>
  <c r="I48" i="6"/>
  <c r="H48" i="6"/>
  <c r="G48" i="6"/>
  <c r="F48" i="6"/>
  <c r="E48" i="6"/>
  <c r="U48" i="6"/>
  <c r="S48" i="6"/>
  <c r="R48" i="6"/>
  <c r="Q48" i="6"/>
  <c r="P48" i="6"/>
  <c r="O48" i="6"/>
  <c r="B41" i="6"/>
  <c r="B42" i="6" s="1"/>
  <c r="B43" i="6" s="1"/>
  <c r="B44" i="6" s="1"/>
  <c r="B45" i="6" s="1"/>
  <c r="B46" i="6" s="1"/>
  <c r="S116" i="21" l="1"/>
  <c r="S31" i="21"/>
  <c r="S118" i="21"/>
  <c r="S55" i="21"/>
  <c r="S57" i="21"/>
  <c r="S53" i="21"/>
  <c r="V48" i="6"/>
  <c r="T48" i="6"/>
  <c r="G141" i="20" l="1"/>
  <c r="G140" i="20"/>
  <c r="G128" i="20"/>
  <c r="G120" i="20"/>
  <c r="G114" i="20"/>
  <c r="AL114" i="20"/>
  <c r="R114" i="20"/>
  <c r="P114" i="20"/>
  <c r="O114" i="20"/>
  <c r="L114" i="20"/>
  <c r="H114" i="20"/>
  <c r="F102" i="20"/>
  <c r="F103" i="20"/>
  <c r="F100" i="20"/>
  <c r="F99" i="20"/>
  <c r="F96" i="20"/>
  <c r="E96" i="20"/>
  <c r="E99" i="20"/>
  <c r="E100" i="20"/>
  <c r="E102" i="20"/>
  <c r="E103" i="20"/>
  <c r="F105" i="20"/>
  <c r="E105" i="20"/>
  <c r="F104" i="20"/>
  <c r="E104" i="20"/>
  <c r="F101" i="20"/>
  <c r="E101" i="20"/>
  <c r="F98" i="20"/>
  <c r="E98" i="20"/>
  <c r="F97" i="20"/>
  <c r="E97" i="20"/>
  <c r="F95" i="20"/>
  <c r="E95" i="20"/>
  <c r="F94" i="20"/>
  <c r="E94" i="20"/>
  <c r="F93" i="20"/>
  <c r="E93" i="20"/>
  <c r="AI92" i="20"/>
  <c r="AF92" i="20"/>
  <c r="Z92" i="20"/>
  <c r="W92" i="20"/>
  <c r="AB92" i="20" s="1"/>
  <c r="R92" i="20"/>
  <c r="O92" i="20"/>
  <c r="L92" i="20"/>
  <c r="H92" i="20"/>
  <c r="G90" i="20"/>
  <c r="G89" i="20"/>
  <c r="F88" i="20"/>
  <c r="E88" i="20"/>
  <c r="F87" i="20"/>
  <c r="E87" i="20"/>
  <c r="F82" i="20"/>
  <c r="F81" i="20"/>
  <c r="E82" i="20"/>
  <c r="E81" i="20"/>
  <c r="F79" i="20"/>
  <c r="E79" i="20"/>
  <c r="F78" i="20"/>
  <c r="E78" i="20"/>
  <c r="F75" i="20"/>
  <c r="E75" i="20"/>
  <c r="F84" i="20"/>
  <c r="E84" i="20"/>
  <c r="F83" i="20"/>
  <c r="E83" i="20"/>
  <c r="F80" i="20"/>
  <c r="E80" i="20"/>
  <c r="F77" i="20"/>
  <c r="E77" i="20"/>
  <c r="F76" i="20"/>
  <c r="E76" i="20"/>
  <c r="F74" i="20"/>
  <c r="E74" i="20"/>
  <c r="F73" i="20"/>
  <c r="E73" i="20"/>
  <c r="E72" i="20"/>
  <c r="F72" i="20"/>
  <c r="F69" i="20"/>
  <c r="E69" i="20"/>
  <c r="F68" i="20"/>
  <c r="E68" i="20"/>
  <c r="G70" i="20"/>
  <c r="F67" i="20"/>
  <c r="E67" i="20"/>
  <c r="E56" i="20"/>
  <c r="E59" i="20"/>
  <c r="E58" i="20"/>
  <c r="E64" i="20"/>
  <c r="E63" i="20"/>
  <c r="E60" i="20"/>
  <c r="E57" i="20"/>
  <c r="E55" i="20"/>
  <c r="F61" i="20"/>
  <c r="F64" i="20"/>
  <c r="F63" i="20"/>
  <c r="F62" i="20"/>
  <c r="F60" i="20"/>
  <c r="F59" i="20"/>
  <c r="F58" i="20"/>
  <c r="F57" i="20"/>
  <c r="F56" i="20"/>
  <c r="F55" i="20"/>
  <c r="F54" i="20"/>
  <c r="E54" i="20"/>
  <c r="F53" i="20"/>
  <c r="E53" i="20"/>
  <c r="AI51" i="20"/>
  <c r="AF51" i="20"/>
  <c r="Z51" i="20"/>
  <c r="W51" i="20"/>
  <c r="AB51" i="20" s="1"/>
  <c r="R51" i="20"/>
  <c r="O51" i="20"/>
  <c r="L51" i="20"/>
  <c r="H51" i="20"/>
  <c r="AI50" i="20"/>
  <c r="AF50" i="20"/>
  <c r="Z50" i="20"/>
  <c r="W50" i="20"/>
  <c r="AB50" i="20" s="1"/>
  <c r="R50" i="20"/>
  <c r="O50" i="20"/>
  <c r="L50" i="20"/>
  <c r="H50" i="20"/>
  <c r="G48" i="20"/>
  <c r="F43" i="20"/>
  <c r="E43" i="20"/>
  <c r="F42" i="20"/>
  <c r="E42" i="20"/>
  <c r="AM18" i="20"/>
  <c r="AL18" i="20"/>
  <c r="AK18" i="20"/>
  <c r="AI18" i="20"/>
  <c r="AF18" i="20"/>
  <c r="Z18" i="20"/>
  <c r="W18" i="20"/>
  <c r="AB18" i="20" s="1"/>
  <c r="R18" i="20"/>
  <c r="O18" i="20"/>
  <c r="L18" i="20"/>
  <c r="H18" i="20"/>
  <c r="F14" i="20"/>
  <c r="E14" i="20"/>
  <c r="G160" i="20"/>
  <c r="G267" i="20"/>
  <c r="F267" i="20"/>
  <c r="E267" i="20"/>
  <c r="G268" i="20"/>
  <c r="G264" i="20"/>
  <c r="E259" i="20"/>
  <c r="F259" i="20"/>
  <c r="Q114" i="20" l="1"/>
  <c r="Y50" i="20"/>
  <c r="Y18" i="20"/>
  <c r="Y51" i="20"/>
  <c r="T51" i="20"/>
  <c r="Y92" i="20"/>
  <c r="T114" i="20"/>
  <c r="K114" i="20"/>
  <c r="AI114" i="20"/>
  <c r="AK114" i="20"/>
  <c r="T92" i="20"/>
  <c r="N114" i="20"/>
  <c r="Q92" i="20"/>
  <c r="AE92" i="20"/>
  <c r="N92" i="20"/>
  <c r="AA92" i="20"/>
  <c r="K92" i="20"/>
  <c r="Q51" i="20"/>
  <c r="AE51" i="20"/>
  <c r="N51" i="20"/>
  <c r="AA51" i="20"/>
  <c r="T50" i="20"/>
  <c r="K51" i="20"/>
  <c r="Q50" i="20"/>
  <c r="AE50" i="20"/>
  <c r="N50" i="20"/>
  <c r="AA50" i="20"/>
  <c r="K50" i="20"/>
  <c r="T18" i="20"/>
  <c r="Q18" i="20"/>
  <c r="AE18" i="20"/>
  <c r="N18" i="20"/>
  <c r="AA18" i="20"/>
  <c r="K18" i="20"/>
  <c r="F192" i="20"/>
  <c r="AI192" i="20"/>
  <c r="AF192" i="20"/>
  <c r="Z192" i="20"/>
  <c r="W192" i="20"/>
  <c r="R192" i="20"/>
  <c r="O192" i="20"/>
  <c r="L192" i="20"/>
  <c r="H192" i="20"/>
  <c r="G190" i="20"/>
  <c r="G234" i="20"/>
  <c r="F230" i="20"/>
  <c r="F229" i="20"/>
  <c r="F228" i="20"/>
  <c r="F225" i="20"/>
  <c r="F226" i="20"/>
  <c r="F227" i="20"/>
  <c r="F224" i="20"/>
  <c r="F205" i="20"/>
  <c r="AK205" i="20" s="1"/>
  <c r="F206" i="20"/>
  <c r="F207" i="20"/>
  <c r="AK207" i="20" s="1"/>
  <c r="F208" i="20"/>
  <c r="F209" i="20"/>
  <c r="AK209" i="20" s="1"/>
  <c r="F210" i="20"/>
  <c r="AK210" i="20" s="1"/>
  <c r="F211" i="20"/>
  <c r="F212" i="20"/>
  <c r="AK212" i="20" s="1"/>
  <c r="F213" i="20"/>
  <c r="F214" i="20"/>
  <c r="F215" i="20"/>
  <c r="F216" i="20"/>
  <c r="F204" i="20"/>
  <c r="G193" i="20"/>
  <c r="F158" i="20"/>
  <c r="F269" i="22"/>
  <c r="E269" i="22"/>
  <c r="AT269" i="22" s="1"/>
  <c r="F268" i="22"/>
  <c r="E268" i="22"/>
  <c r="F265" i="22"/>
  <c r="F264" i="22"/>
  <c r="E265" i="22"/>
  <c r="AT265" i="22" s="1"/>
  <c r="E264" i="22"/>
  <c r="F259" i="22"/>
  <c r="E259" i="22"/>
  <c r="F190" i="22"/>
  <c r="E190" i="22"/>
  <c r="F189" i="22"/>
  <c r="E189" i="22"/>
  <c r="AT189" i="22" s="1"/>
  <c r="F188" i="22"/>
  <c r="E188" i="22"/>
  <c r="F183" i="22"/>
  <c r="E183" i="22"/>
  <c r="AT183" i="22" s="1"/>
  <c r="F182" i="22"/>
  <c r="E182" i="22"/>
  <c r="F181" i="22"/>
  <c r="E181" i="22"/>
  <c r="F175" i="22"/>
  <c r="E175" i="22"/>
  <c r="AT175" i="22" s="1"/>
  <c r="F176" i="22"/>
  <c r="E176" i="22"/>
  <c r="F174" i="22"/>
  <c r="E174" i="22"/>
  <c r="F173" i="22"/>
  <c r="E173" i="22"/>
  <c r="F192" i="21"/>
  <c r="E192" i="21"/>
  <c r="AT192" i="21" s="1"/>
  <c r="F193" i="21"/>
  <c r="E193" i="21"/>
  <c r="F191" i="21"/>
  <c r="E191" i="21"/>
  <c r="F186" i="21"/>
  <c r="E186" i="21"/>
  <c r="AT186" i="21" s="1"/>
  <c r="F185" i="21"/>
  <c r="E185" i="21"/>
  <c r="F184" i="21"/>
  <c r="E184" i="21"/>
  <c r="E178" i="21"/>
  <c r="AT178" i="21" s="1"/>
  <c r="F178" i="21"/>
  <c r="F177" i="21"/>
  <c r="E177" i="21"/>
  <c r="F176" i="21"/>
  <c r="E176" i="21"/>
  <c r="F260" i="21"/>
  <c r="E260" i="21"/>
  <c r="E266" i="21"/>
  <c r="AT266" i="21" s="1"/>
  <c r="F266" i="21"/>
  <c r="F265" i="21"/>
  <c r="E265" i="21"/>
  <c r="F270" i="21"/>
  <c r="E270" i="21"/>
  <c r="AT270" i="21" s="1"/>
  <c r="F185" i="20"/>
  <c r="E185" i="20"/>
  <c r="F183" i="20"/>
  <c r="E183" i="20"/>
  <c r="F178" i="20"/>
  <c r="E178" i="20"/>
  <c r="F177" i="20"/>
  <c r="E177" i="20"/>
  <c r="F176" i="20"/>
  <c r="E176" i="20"/>
  <c r="F171" i="20"/>
  <c r="E171" i="20"/>
  <c r="F170" i="20"/>
  <c r="E170" i="20"/>
  <c r="E169" i="20"/>
  <c r="F169" i="20"/>
  <c r="F168" i="20"/>
  <c r="E168" i="20"/>
  <c r="S114" i="20" l="1"/>
  <c r="S92" i="20"/>
  <c r="S51" i="20"/>
  <c r="S50" i="20"/>
  <c r="S18" i="20"/>
  <c r="T192" i="20"/>
  <c r="AE192" i="20"/>
  <c r="AB192" i="20"/>
  <c r="Q192" i="20"/>
  <c r="N192" i="20"/>
  <c r="AA192" i="20"/>
  <c r="K192" i="20"/>
  <c r="Y192" i="20"/>
  <c r="S192" i="20" l="1"/>
  <c r="F16" i="43"/>
  <c r="I16" i="43" s="1"/>
  <c r="F15" i="43"/>
  <c r="I15" i="43" s="1"/>
  <c r="G13" i="43"/>
  <c r="F13" i="43"/>
  <c r="E13" i="43"/>
  <c r="I13" i="43" s="1"/>
  <c r="I12" i="43"/>
  <c r="G12" i="43"/>
  <c r="F12" i="43"/>
  <c r="G11" i="43"/>
  <c r="F11" i="43"/>
  <c r="I11" i="43" s="1"/>
  <c r="G10" i="43"/>
  <c r="F10" i="43"/>
  <c r="I10" i="43" s="1"/>
  <c r="G8" i="43"/>
  <c r="F8" i="43"/>
  <c r="I8" i="43" s="1"/>
  <c r="G7" i="43"/>
  <c r="F7" i="43"/>
  <c r="I7" i="43" s="1"/>
  <c r="G6" i="43"/>
  <c r="I6" i="43" s="1"/>
  <c r="F6" i="43"/>
  <c r="G5" i="43"/>
  <c r="F5" i="43"/>
  <c r="I5" i="43" s="1"/>
  <c r="I17" i="43" s="1"/>
  <c r="E8" i="5" s="1"/>
  <c r="G184" i="20"/>
  <c r="E22" i="43" l="1"/>
  <c r="E21" i="43"/>
  <c r="G69" i="25" l="1"/>
  <c r="F69" i="25"/>
  <c r="H69" i="25" s="1"/>
  <c r="G68" i="25"/>
  <c r="G67" i="25"/>
  <c r="G66" i="25"/>
  <c r="G62" i="25"/>
  <c r="G61" i="25"/>
  <c r="G60" i="25"/>
  <c r="G59" i="25"/>
  <c r="G58" i="25"/>
  <c r="G54" i="25"/>
  <c r="G53" i="25"/>
  <c r="G52" i="25"/>
  <c r="G51" i="25"/>
  <c r="G50" i="25"/>
  <c r="G46" i="25"/>
  <c r="G45" i="25"/>
  <c r="G44" i="25"/>
  <c r="G43" i="25"/>
  <c r="G42" i="25"/>
  <c r="G41" i="25"/>
  <c r="G40" i="25"/>
  <c r="G37" i="25"/>
  <c r="G36" i="25"/>
  <c r="G35" i="25"/>
  <c r="G34" i="25"/>
  <c r="G33" i="25"/>
  <c r="G32" i="25"/>
  <c r="G31" i="25"/>
  <c r="G72" i="16"/>
  <c r="L60" i="16" l="1"/>
  <c r="G73" i="16"/>
  <c r="F48" i="16"/>
  <c r="G49" i="25" s="1"/>
  <c r="F47" i="16"/>
  <c r="G48" i="25" s="1"/>
  <c r="F56" i="16" l="1"/>
  <c r="G56" i="25" s="1"/>
  <c r="F57" i="16"/>
  <c r="G57" i="25" s="1"/>
  <c r="F66" i="16"/>
  <c r="G65" i="25" s="1"/>
  <c r="F65" i="16"/>
  <c r="G64" i="25" s="1"/>
  <c r="F53" i="25"/>
  <c r="H53" i="25" s="1"/>
  <c r="F45" i="25"/>
  <c r="H45" i="25" s="1"/>
  <c r="H47" i="25"/>
  <c r="H55" i="25"/>
  <c r="H63" i="25"/>
  <c r="G61" i="16"/>
  <c r="F98" i="40"/>
  <c r="F36" i="25" l="1"/>
  <c r="M34" i="16"/>
  <c r="N34" i="16" s="1"/>
  <c r="P34" i="16" s="1"/>
  <c r="F61" i="25"/>
  <c r="H61" i="25" s="1"/>
  <c r="H36" i="25"/>
  <c r="G34" i="16" l="1"/>
  <c r="G52" i="16"/>
  <c r="Q13" i="42"/>
  <c r="Q31" i="42" s="1"/>
  <c r="Q7" i="42"/>
  <c r="T7" i="42" s="1"/>
  <c r="E35" i="16" l="1"/>
  <c r="Q25" i="42"/>
  <c r="Q19" i="42"/>
  <c r="P9" i="42"/>
  <c r="P11" i="42"/>
  <c r="P12" i="42"/>
  <c r="Q37" i="42" l="1"/>
  <c r="F37" i="25"/>
  <c r="H37" i="25" s="1"/>
  <c r="G35" i="16"/>
  <c r="R25" i="25"/>
  <c r="R24" i="25"/>
  <c r="Q64" i="25"/>
  <c r="R64" i="25" s="1"/>
  <c r="AB64" i="25"/>
  <c r="AD64" i="25" s="1"/>
  <c r="S64" i="25" l="1"/>
  <c r="T64" i="25"/>
  <c r="AC64" i="25"/>
  <c r="AA46" i="25" l="1"/>
  <c r="Z46" i="25"/>
  <c r="AB38" i="25"/>
  <c r="AC38" i="25" s="1"/>
  <c r="AB37" i="25"/>
  <c r="AC37" i="25" s="1"/>
  <c r="AB36" i="25"/>
  <c r="AB35" i="25"/>
  <c r="AD35" i="25" s="1"/>
  <c r="AB34" i="25"/>
  <c r="AC34" i="25" s="1"/>
  <c r="AB33" i="25"/>
  <c r="AA27" i="25"/>
  <c r="AB26" i="25"/>
  <c r="AB25" i="25"/>
  <c r="AC25" i="25" s="1"/>
  <c r="AB24" i="25"/>
  <c r="AB22" i="25"/>
  <c r="AB21" i="25"/>
  <c r="AB20" i="25"/>
  <c r="AC20" i="25" s="1"/>
  <c r="AB19" i="25"/>
  <c r="AB18" i="25"/>
  <c r="AB17" i="25"/>
  <c r="AC17" i="25" s="1"/>
  <c r="AB16" i="25"/>
  <c r="AB15" i="25"/>
  <c r="AB14" i="25"/>
  <c r="AC14" i="25" s="1"/>
  <c r="AB13" i="25"/>
  <c r="AB12" i="25"/>
  <c r="AB11" i="25"/>
  <c r="AC11" i="25" s="1"/>
  <c r="AB10" i="25"/>
  <c r="AB9" i="25"/>
  <c r="W9" i="25"/>
  <c r="W10" i="25" s="1"/>
  <c r="W11" i="25" s="1"/>
  <c r="W12" i="25" s="1"/>
  <c r="W13" i="25" s="1"/>
  <c r="W14" i="25" s="1"/>
  <c r="W15" i="25" s="1"/>
  <c r="W16" i="25" s="1"/>
  <c r="W17" i="25" s="1"/>
  <c r="W18" i="25" s="1"/>
  <c r="W19" i="25" s="1"/>
  <c r="W20" i="25" s="1"/>
  <c r="W21" i="25" s="1"/>
  <c r="W22" i="25" s="1"/>
  <c r="AB8" i="25"/>
  <c r="AC8" i="25" s="1"/>
  <c r="W24" i="25" l="1"/>
  <c r="W25" i="25" s="1"/>
  <c r="W26" i="25" s="1"/>
  <c r="W27" i="25" s="1"/>
  <c r="AD38" i="25"/>
  <c r="AB27" i="25"/>
  <c r="AC27" i="25" s="1"/>
  <c r="AB40" i="25"/>
  <c r="AD40" i="25" s="1"/>
  <c r="AD18" i="25"/>
  <c r="AC18" i="25"/>
  <c r="AD21" i="25"/>
  <c r="AC21" i="25"/>
  <c r="AD9" i="25"/>
  <c r="AC9" i="25"/>
  <c r="AD12" i="25"/>
  <c r="AC12" i="25"/>
  <c r="AD15" i="25"/>
  <c r="AC15" i="25"/>
  <c r="AD26" i="25"/>
  <c r="AC26" i="25"/>
  <c r="AC35" i="25"/>
  <c r="AB46" i="25"/>
  <c r="AC10" i="25"/>
  <c r="AD10" i="25"/>
  <c r="AC13" i="25"/>
  <c r="AD13" i="25"/>
  <c r="AC19" i="25"/>
  <c r="AD19" i="25"/>
  <c r="AD22" i="25"/>
  <c r="AC22" i="25"/>
  <c r="AC33" i="25"/>
  <c r="AD33" i="25"/>
  <c r="AD36" i="25"/>
  <c r="AC36" i="25"/>
  <c r="AD16" i="25"/>
  <c r="AC16" i="25"/>
  <c r="AC24" i="25"/>
  <c r="AD24" i="25"/>
  <c r="AD8" i="25"/>
  <c r="AD11" i="25"/>
  <c r="AD14" i="25"/>
  <c r="AD17" i="25"/>
  <c r="AD20" i="25"/>
  <c r="AD25" i="25"/>
  <c r="AD34" i="25"/>
  <c r="AD37" i="25"/>
  <c r="W31" i="25" l="1"/>
  <c r="W33" i="25"/>
  <c r="W34" i="25" s="1"/>
  <c r="W35" i="25" s="1"/>
  <c r="W36" i="25" s="1"/>
  <c r="W37" i="25" s="1"/>
  <c r="W38" i="25" s="1"/>
  <c r="W40" i="25" s="1"/>
  <c r="W64" i="25" s="1"/>
  <c r="AD27" i="25"/>
  <c r="AD28" i="25" s="1"/>
  <c r="AC46" i="25"/>
  <c r="AB70" i="25"/>
  <c r="AD46" i="25"/>
  <c r="AD70" i="25" s="1"/>
  <c r="AC40" i="25"/>
  <c r="AC70" i="25" s="1"/>
  <c r="AB28" i="25"/>
  <c r="AC28" i="25"/>
  <c r="AC72" i="25" l="1"/>
  <c r="AD72" i="25"/>
  <c r="P69" i="4" l="1"/>
  <c r="P68" i="4"/>
  <c r="P66" i="4"/>
  <c r="P62" i="4"/>
  <c r="P61" i="4"/>
  <c r="P60" i="4"/>
  <c r="P59" i="4"/>
  <c r="P52" i="4"/>
  <c r="P51" i="4"/>
  <c r="P49" i="4"/>
  <c r="P45" i="4"/>
  <c r="P44" i="4"/>
  <c r="P43" i="4"/>
  <c r="P42" i="4"/>
  <c r="P35" i="4"/>
  <c r="P34" i="4"/>
  <c r="P32" i="4"/>
  <c r="P28" i="4"/>
  <c r="P27" i="4"/>
  <c r="P26" i="4"/>
  <c r="P25" i="4"/>
  <c r="W2" i="4"/>
  <c r="P270" i="22"/>
  <c r="P268" i="22"/>
  <c r="P264" i="22"/>
  <c r="P262" i="22"/>
  <c r="P259" i="22"/>
  <c r="P256" i="22"/>
  <c r="P254" i="22"/>
  <c r="P251" i="22"/>
  <c r="P250" i="22"/>
  <c r="P248" i="22"/>
  <c r="P245" i="22"/>
  <c r="P244" i="22"/>
  <c r="P242" i="22"/>
  <c r="P239" i="22"/>
  <c r="P237" i="22"/>
  <c r="P236" i="22"/>
  <c r="P233" i="22"/>
  <c r="P230" i="22"/>
  <c r="P228" i="22"/>
  <c r="P226" i="22"/>
  <c r="P220" i="22"/>
  <c r="P218" i="22"/>
  <c r="P216" i="22"/>
  <c r="P213" i="22"/>
  <c r="P211" i="22"/>
  <c r="P208" i="22"/>
  <c r="P207" i="22"/>
  <c r="P205" i="22"/>
  <c r="P204" i="22"/>
  <c r="P198" i="22"/>
  <c r="P195" i="22"/>
  <c r="P193" i="22"/>
  <c r="P190" i="22"/>
  <c r="P188" i="22"/>
  <c r="P186" i="22"/>
  <c r="P182" i="22"/>
  <c r="P181" i="22"/>
  <c r="P179" i="22"/>
  <c r="P176" i="22"/>
  <c r="P174" i="22"/>
  <c r="P173" i="22"/>
  <c r="P171" i="22"/>
  <c r="P158" i="22"/>
  <c r="P157" i="22"/>
  <c r="P155" i="22"/>
  <c r="P152" i="22"/>
  <c r="P151" i="22"/>
  <c r="P149" i="22"/>
  <c r="P146" i="22"/>
  <c r="P145" i="22"/>
  <c r="P141" i="22"/>
  <c r="P140" i="22"/>
  <c r="P139" i="22"/>
  <c r="P135" i="22"/>
  <c r="P133" i="22"/>
  <c r="P124" i="22"/>
  <c r="P123" i="22"/>
  <c r="P121" i="22"/>
  <c r="P112" i="22"/>
  <c r="P111" i="22"/>
  <c r="P109" i="22"/>
  <c r="P102" i="22"/>
  <c r="P99" i="22"/>
  <c r="P98" i="22"/>
  <c r="P96" i="22"/>
  <c r="P95" i="22"/>
  <c r="P94" i="22"/>
  <c r="P92" i="22"/>
  <c r="P91" i="22"/>
  <c r="P89" i="22"/>
  <c r="P82" i="22"/>
  <c r="P79" i="22"/>
  <c r="P78" i="22"/>
  <c r="P76" i="22"/>
  <c r="P75" i="22"/>
  <c r="P74" i="22"/>
  <c r="P72" i="22"/>
  <c r="P71" i="22"/>
  <c r="P69" i="22"/>
  <c r="P62" i="22"/>
  <c r="P59" i="22"/>
  <c r="P58" i="22"/>
  <c r="P27" i="22"/>
  <c r="P26" i="22"/>
  <c r="P24" i="22"/>
  <c r="P21" i="22"/>
  <c r="P20" i="22"/>
  <c r="P18" i="22"/>
  <c r="P271" i="21"/>
  <c r="P269" i="21"/>
  <c r="P265" i="21"/>
  <c r="P263" i="21"/>
  <c r="P260" i="21"/>
  <c r="P257" i="21"/>
  <c r="P255" i="21"/>
  <c r="P252" i="21"/>
  <c r="P251" i="21"/>
  <c r="P249" i="21"/>
  <c r="P246" i="21"/>
  <c r="P245" i="21"/>
  <c r="P243" i="21"/>
  <c r="P240" i="21"/>
  <c r="P238" i="21"/>
  <c r="P237" i="21"/>
  <c r="P234" i="21"/>
  <c r="P231" i="21"/>
  <c r="P229" i="21"/>
  <c r="P227" i="21"/>
  <c r="P221" i="21"/>
  <c r="P219" i="21"/>
  <c r="P217" i="21"/>
  <c r="P214" i="21"/>
  <c r="P212" i="21"/>
  <c r="P209" i="21"/>
  <c r="P208" i="21"/>
  <c r="P206" i="21"/>
  <c r="P205" i="21"/>
  <c r="P200" i="21"/>
  <c r="P198" i="21"/>
  <c r="P196" i="21"/>
  <c r="P193" i="21"/>
  <c r="P191" i="21"/>
  <c r="P189" i="21"/>
  <c r="P185" i="21"/>
  <c r="P184" i="21"/>
  <c r="P182" i="21"/>
  <c r="P179" i="21"/>
  <c r="P177" i="21"/>
  <c r="P176" i="21"/>
  <c r="P174" i="21"/>
  <c r="P170" i="21"/>
  <c r="P168" i="21"/>
  <c r="P167" i="21"/>
  <c r="P165" i="21"/>
  <c r="P164" i="21"/>
  <c r="P161" i="21"/>
  <c r="P160" i="21"/>
  <c r="P158" i="21"/>
  <c r="P155" i="21"/>
  <c r="P154" i="21"/>
  <c r="P152" i="21"/>
  <c r="P149" i="21"/>
  <c r="P148" i="21"/>
  <c r="P144" i="21"/>
  <c r="P143" i="21"/>
  <c r="P142" i="21"/>
  <c r="P138" i="21"/>
  <c r="P136" i="21"/>
  <c r="P127" i="21"/>
  <c r="P126" i="21"/>
  <c r="P124" i="21"/>
  <c r="P115" i="21"/>
  <c r="P114" i="21"/>
  <c r="P112" i="21"/>
  <c r="P105" i="21"/>
  <c r="P102" i="21"/>
  <c r="P101" i="21"/>
  <c r="P99" i="21"/>
  <c r="P98" i="21"/>
  <c r="P97" i="21"/>
  <c r="P95" i="21"/>
  <c r="P94" i="21"/>
  <c r="P92" i="21"/>
  <c r="P85" i="21"/>
  <c r="P82" i="21"/>
  <c r="P81" i="21"/>
  <c r="P79" i="21"/>
  <c r="P78" i="21"/>
  <c r="P77" i="21"/>
  <c r="P75" i="21"/>
  <c r="P74" i="21"/>
  <c r="P72" i="21"/>
  <c r="P65" i="21"/>
  <c r="P62" i="21"/>
  <c r="P61" i="21"/>
  <c r="P27" i="21"/>
  <c r="P26" i="21"/>
  <c r="P24" i="21"/>
  <c r="P21" i="21"/>
  <c r="P20" i="21"/>
  <c r="P18" i="21"/>
  <c r="P11" i="21"/>
  <c r="P10" i="21"/>
  <c r="P9" i="21"/>
  <c r="P269" i="20"/>
  <c r="P267" i="20"/>
  <c r="P264" i="20"/>
  <c r="P262" i="20"/>
  <c r="P259" i="20"/>
  <c r="P257" i="20"/>
  <c r="P255" i="20"/>
  <c r="P251" i="20"/>
  <c r="P248" i="20"/>
  <c r="P247" i="20"/>
  <c r="P245" i="20"/>
  <c r="P242" i="20"/>
  <c r="P241" i="20"/>
  <c r="P239" i="20"/>
  <c r="P236" i="20"/>
  <c r="P234" i="20"/>
  <c r="P233" i="20"/>
  <c r="P230" i="20"/>
  <c r="P227" i="20"/>
  <c r="P226" i="20"/>
  <c r="P224" i="20"/>
  <c r="P219" i="20"/>
  <c r="P213" i="20"/>
  <c r="P211" i="20"/>
  <c r="P208" i="20"/>
  <c r="P206" i="20"/>
  <c r="P204" i="20"/>
  <c r="P201" i="20"/>
  <c r="P200" i="20"/>
  <c r="P198" i="20"/>
  <c r="P197" i="20"/>
  <c r="P193" i="20"/>
  <c r="P190" i="20"/>
  <c r="P188" i="20"/>
  <c r="P184" i="20"/>
  <c r="P183" i="20"/>
  <c r="P181" i="20"/>
  <c r="P177" i="20"/>
  <c r="P176" i="20"/>
  <c r="P174" i="20"/>
  <c r="P171" i="20"/>
  <c r="P169" i="20"/>
  <c r="P168" i="20"/>
  <c r="P166" i="20"/>
  <c r="P162" i="20"/>
  <c r="P160" i="20"/>
  <c r="P159" i="20"/>
  <c r="P156" i="20"/>
  <c r="P153" i="20"/>
  <c r="P152" i="20"/>
  <c r="P150" i="20"/>
  <c r="P147" i="20"/>
  <c r="P146" i="20"/>
  <c r="P144" i="20"/>
  <c r="P141" i="20"/>
  <c r="P140" i="20"/>
  <c r="P137" i="20"/>
  <c r="P136" i="20"/>
  <c r="P135" i="20"/>
  <c r="P131" i="20"/>
  <c r="P129" i="20"/>
  <c r="P127" i="20"/>
  <c r="P121" i="20"/>
  <c r="P120" i="20"/>
  <c r="P119" i="20"/>
  <c r="P117" i="20"/>
  <c r="AH2" i="20"/>
  <c r="AF2" i="20"/>
  <c r="AD2" i="20"/>
  <c r="AB2" i="20"/>
  <c r="P112" i="20"/>
  <c r="P111" i="20"/>
  <c r="P110" i="20"/>
  <c r="P108" i="20"/>
  <c r="P101" i="20"/>
  <c r="P98" i="20"/>
  <c r="P97" i="20"/>
  <c r="P95" i="20"/>
  <c r="P94" i="20"/>
  <c r="P93" i="20"/>
  <c r="P90" i="20"/>
  <c r="P89" i="20"/>
  <c r="P87" i="20"/>
  <c r="P80" i="20"/>
  <c r="P77" i="20"/>
  <c r="P76" i="20"/>
  <c r="P74" i="20"/>
  <c r="P73" i="20"/>
  <c r="P72" i="20"/>
  <c r="P70" i="20"/>
  <c r="P69" i="20"/>
  <c r="P67" i="20"/>
  <c r="P60" i="20"/>
  <c r="P57" i="20"/>
  <c r="P55" i="20"/>
  <c r="P53" i="20"/>
  <c r="P52" i="20"/>
  <c r="P48" i="20"/>
  <c r="P44" i="20"/>
  <c r="P42" i="20"/>
  <c r="P38" i="20"/>
  <c r="P37" i="20"/>
  <c r="P36" i="20"/>
  <c r="P35" i="20"/>
  <c r="P34" i="20"/>
  <c r="P31" i="20"/>
  <c r="P30" i="20"/>
  <c r="P28" i="20"/>
  <c r="P25" i="20"/>
  <c r="P24" i="20"/>
  <c r="P22" i="20"/>
  <c r="P19" i="20"/>
  <c r="P17" i="20"/>
  <c r="P14" i="20"/>
  <c r="P13" i="20"/>
  <c r="P12" i="20"/>
  <c r="P9" i="20"/>
  <c r="P7" i="20"/>
  <c r="P2" i="40"/>
  <c r="G105" i="22"/>
  <c r="AT105" i="22" s="1"/>
  <c r="G76" i="22"/>
  <c r="AT76" i="22" s="1"/>
  <c r="I9" i="22"/>
  <c r="P9" i="22" s="1"/>
  <c r="I10" i="22"/>
  <c r="P10" i="22" s="1"/>
  <c r="I11" i="22"/>
  <c r="P11" i="22" s="1"/>
  <c r="I14" i="22"/>
  <c r="I15" i="22"/>
  <c r="I7" i="22"/>
  <c r="I35" i="22"/>
  <c r="I36" i="22"/>
  <c r="I38" i="22"/>
  <c r="I33" i="22"/>
  <c r="I30" i="22"/>
  <c r="G108" i="21"/>
  <c r="AT108" i="21" s="1"/>
  <c r="G79" i="21"/>
  <c r="AT79" i="21" s="1"/>
  <c r="G68" i="40"/>
  <c r="G236" i="20"/>
  <c r="G104" i="20"/>
  <c r="G74" i="20"/>
  <c r="G62" i="4"/>
  <c r="G28" i="4"/>
  <c r="G7" i="22"/>
  <c r="AT7" i="22" s="1"/>
  <c r="G7" i="21"/>
  <c r="AT7" i="21" s="1"/>
  <c r="G8" i="40"/>
  <c r="G9" i="4"/>
  <c r="G162" i="20"/>
  <c r="G7" i="20"/>
  <c r="G10" i="40"/>
  <c r="G15" i="40"/>
  <c r="G19" i="40"/>
  <c r="G25" i="40"/>
  <c r="G29" i="40"/>
  <c r="G30" i="40"/>
  <c r="G35" i="40"/>
  <c r="G37" i="40"/>
  <c r="G38" i="40"/>
  <c r="H38" i="40"/>
  <c r="L38" i="40"/>
  <c r="O38" i="40"/>
  <c r="P38" i="40"/>
  <c r="R38" i="40"/>
  <c r="AL38" i="40"/>
  <c r="G41" i="40"/>
  <c r="G42" i="40"/>
  <c r="G46" i="40"/>
  <c r="G48" i="40"/>
  <c r="G51" i="40"/>
  <c r="G53" i="40"/>
  <c r="G22" i="40"/>
  <c r="N38" i="40" l="1"/>
  <c r="T38" i="40"/>
  <c r="K38" i="40"/>
  <c r="AK38" i="40"/>
  <c r="AI38" i="40"/>
  <c r="Q38" i="40"/>
  <c r="S38" i="40" l="1"/>
  <c r="N51" i="42"/>
  <c r="H49" i="42"/>
  <c r="F49" i="42"/>
  <c r="B49" i="42"/>
  <c r="H48" i="42"/>
  <c r="F48" i="42"/>
  <c r="N46" i="42"/>
  <c r="M29" i="42"/>
  <c r="M35" i="42" s="1"/>
  <c r="L29" i="42"/>
  <c r="L35" i="42" s="1"/>
  <c r="E29" i="42"/>
  <c r="E35" i="42" s="1"/>
  <c r="M28" i="42"/>
  <c r="M34" i="42" s="1"/>
  <c r="L28" i="42"/>
  <c r="L34" i="42" s="1"/>
  <c r="K28" i="42"/>
  <c r="K34" i="42" s="1"/>
  <c r="J28" i="42"/>
  <c r="J34" i="42" s="1"/>
  <c r="E28" i="42"/>
  <c r="E34" i="42" s="1"/>
  <c r="M26" i="42"/>
  <c r="M32" i="42" s="1"/>
  <c r="L26" i="42"/>
  <c r="L32" i="42" s="1"/>
  <c r="K26" i="42"/>
  <c r="K32" i="42" s="1"/>
  <c r="J26" i="42"/>
  <c r="J32" i="42" s="1"/>
  <c r="E26" i="42"/>
  <c r="E32" i="42" s="1"/>
  <c r="E25" i="42"/>
  <c r="E31" i="42" s="1"/>
  <c r="M23" i="42"/>
  <c r="L23" i="42"/>
  <c r="E23" i="42"/>
  <c r="M22" i="42"/>
  <c r="L22" i="42"/>
  <c r="K22" i="42"/>
  <c r="J22" i="42"/>
  <c r="E22" i="42"/>
  <c r="E21" i="42"/>
  <c r="I20" i="42"/>
  <c r="I26" i="42" s="1"/>
  <c r="I32" i="42" s="1"/>
  <c r="H20" i="42"/>
  <c r="H26" i="42" s="1"/>
  <c r="H32" i="42" s="1"/>
  <c r="G20" i="42"/>
  <c r="F20" i="42"/>
  <c r="D20" i="42"/>
  <c r="M19" i="42"/>
  <c r="M25" i="42" s="1"/>
  <c r="M31" i="42" s="1"/>
  <c r="L19" i="42"/>
  <c r="L25" i="42" s="1"/>
  <c r="L31" i="42" s="1"/>
  <c r="K19" i="42"/>
  <c r="K25" i="42" s="1"/>
  <c r="K31" i="42" s="1"/>
  <c r="J19" i="42"/>
  <c r="J25" i="42" s="1"/>
  <c r="J31" i="42" s="1"/>
  <c r="I19" i="42"/>
  <c r="I25" i="42" s="1"/>
  <c r="I31" i="42" s="1"/>
  <c r="H19" i="42"/>
  <c r="H25" i="42" s="1"/>
  <c r="H31" i="42" s="1"/>
  <c r="G19" i="42"/>
  <c r="F19" i="42"/>
  <c r="F25" i="42" s="1"/>
  <c r="D19" i="42"/>
  <c r="K17" i="42"/>
  <c r="K23" i="42" s="1"/>
  <c r="J17" i="42"/>
  <c r="J29" i="42" s="1"/>
  <c r="J35" i="42" s="1"/>
  <c r="I17" i="42"/>
  <c r="I29" i="42" s="1"/>
  <c r="I35" i="42" s="1"/>
  <c r="H17" i="42"/>
  <c r="H29" i="42" s="1"/>
  <c r="H35" i="42" s="1"/>
  <c r="G17" i="42"/>
  <c r="G23" i="42" s="1"/>
  <c r="F17" i="42"/>
  <c r="F23" i="42" s="1"/>
  <c r="D17" i="42"/>
  <c r="D23" i="42" s="1"/>
  <c r="D29" i="42" s="1"/>
  <c r="I16" i="42"/>
  <c r="I28" i="42" s="1"/>
  <c r="I34" i="42" s="1"/>
  <c r="H16" i="42"/>
  <c r="H28" i="42" s="1"/>
  <c r="H34" i="42" s="1"/>
  <c r="G16" i="42"/>
  <c r="G28" i="42" s="1"/>
  <c r="G34" i="42" s="1"/>
  <c r="F16" i="42"/>
  <c r="F22" i="42" s="1"/>
  <c r="D16" i="42"/>
  <c r="D22" i="42" s="1"/>
  <c r="M15" i="42"/>
  <c r="M21" i="42" s="1"/>
  <c r="M27" i="42" s="1"/>
  <c r="M33" i="42" s="1"/>
  <c r="L15" i="42"/>
  <c r="L21" i="42" s="1"/>
  <c r="L27" i="42" s="1"/>
  <c r="L33" i="42" s="1"/>
  <c r="K15" i="42"/>
  <c r="K21" i="42" s="1"/>
  <c r="K27" i="42" s="1"/>
  <c r="K33" i="42" s="1"/>
  <c r="J15" i="42"/>
  <c r="J21" i="42" s="1"/>
  <c r="J27" i="42" s="1"/>
  <c r="J33" i="42" s="1"/>
  <c r="I15" i="42"/>
  <c r="I21" i="42" s="1"/>
  <c r="I27" i="42" s="1"/>
  <c r="I33" i="42" s="1"/>
  <c r="H15" i="42"/>
  <c r="H21" i="42" s="1"/>
  <c r="H27" i="42" s="1"/>
  <c r="H33" i="42" s="1"/>
  <c r="G15" i="42"/>
  <c r="G21" i="42" s="1"/>
  <c r="G27" i="42" s="1"/>
  <c r="G33" i="42" s="1"/>
  <c r="F15" i="42"/>
  <c r="R15" i="42" s="1"/>
  <c r="D15" i="42"/>
  <c r="D21" i="42" s="1"/>
  <c r="I14" i="42"/>
  <c r="H14" i="42"/>
  <c r="G14" i="42"/>
  <c r="F14" i="42"/>
  <c r="D14" i="42"/>
  <c r="M13" i="42"/>
  <c r="L13" i="42"/>
  <c r="K13" i="42"/>
  <c r="J13" i="42"/>
  <c r="I13" i="42"/>
  <c r="H13" i="42"/>
  <c r="G13" i="42"/>
  <c r="F13" i="42"/>
  <c r="D13" i="42"/>
  <c r="N11" i="42"/>
  <c r="I10" i="42"/>
  <c r="H10" i="42"/>
  <c r="G10" i="42"/>
  <c r="F10" i="42"/>
  <c r="D10" i="42"/>
  <c r="N9" i="42"/>
  <c r="I8" i="42"/>
  <c r="H8" i="42"/>
  <c r="G8" i="42"/>
  <c r="F8" i="42"/>
  <c r="P8" i="42" s="1"/>
  <c r="D8" i="42"/>
  <c r="B8" i="42"/>
  <c r="B9" i="42" s="1"/>
  <c r="B10" i="42" s="1"/>
  <c r="B11" i="42" s="1"/>
  <c r="B13" i="42" s="1"/>
  <c r="B14" i="42" s="1"/>
  <c r="B15" i="42" s="1"/>
  <c r="B16" i="42" s="1"/>
  <c r="B17" i="42" s="1"/>
  <c r="B19" i="42" s="1"/>
  <c r="B20" i="42" s="1"/>
  <c r="B21" i="42" s="1"/>
  <c r="B22" i="42" s="1"/>
  <c r="B23" i="42" s="1"/>
  <c r="B25" i="42" s="1"/>
  <c r="B26" i="42" s="1"/>
  <c r="B27" i="42" s="1"/>
  <c r="B28" i="42" s="1"/>
  <c r="B29" i="42" s="1"/>
  <c r="B31" i="42" s="1"/>
  <c r="B32" i="42" s="1"/>
  <c r="B33" i="42" s="1"/>
  <c r="B34" i="42" s="1"/>
  <c r="B35" i="42" s="1"/>
  <c r="M7" i="42"/>
  <c r="L7" i="42"/>
  <c r="K7" i="42"/>
  <c r="J7" i="42"/>
  <c r="I7" i="42"/>
  <c r="H7" i="42"/>
  <c r="G7" i="42"/>
  <c r="F7" i="42"/>
  <c r="D7" i="42"/>
  <c r="N8" i="42" l="1"/>
  <c r="N10" i="42"/>
  <c r="F21" i="42"/>
  <c r="R21" i="42" s="1"/>
  <c r="T19" i="42" s="1"/>
  <c r="E53" i="16" s="1"/>
  <c r="H23" i="42"/>
  <c r="N13" i="42"/>
  <c r="F27" i="42"/>
  <c r="R27" i="42" s="1"/>
  <c r="T25" i="42" s="1"/>
  <c r="H22" i="42"/>
  <c r="F29" i="42"/>
  <c r="F35" i="42" s="1"/>
  <c r="T13" i="42"/>
  <c r="F26" i="42"/>
  <c r="P20" i="42"/>
  <c r="N33" i="42"/>
  <c r="F28" i="42"/>
  <c r="F34" i="42" s="1"/>
  <c r="G29" i="42"/>
  <c r="G35" i="42" s="1"/>
  <c r="F42" i="42"/>
  <c r="H42" i="42" s="1"/>
  <c r="P14" i="42"/>
  <c r="N19" i="42"/>
  <c r="N20" i="42"/>
  <c r="G22" i="42"/>
  <c r="N34" i="42"/>
  <c r="D27" i="42"/>
  <c r="D35" i="42"/>
  <c r="F32" i="42"/>
  <c r="P32" i="42" s="1"/>
  <c r="L37" i="42"/>
  <c r="L38" i="42" s="1"/>
  <c r="L39" i="42" s="1"/>
  <c r="M37" i="42"/>
  <c r="M38" i="42" s="1"/>
  <c r="M39" i="42" s="1"/>
  <c r="N7" i="42"/>
  <c r="D25" i="42"/>
  <c r="E27" i="42"/>
  <c r="N28" i="42"/>
  <c r="N15" i="42"/>
  <c r="N16" i="42"/>
  <c r="I22" i="42"/>
  <c r="N21" i="42"/>
  <c r="I23" i="42"/>
  <c r="J23" i="42"/>
  <c r="J37" i="42" s="1"/>
  <c r="J38" i="42" s="1"/>
  <c r="J39" i="42" s="1"/>
  <c r="D26" i="42"/>
  <c r="N27" i="42"/>
  <c r="K29" i="42"/>
  <c r="K35" i="42" s="1"/>
  <c r="N35" i="42" s="1"/>
  <c r="G25" i="42"/>
  <c r="F31" i="42"/>
  <c r="N17" i="42"/>
  <c r="G26" i="42"/>
  <c r="N14" i="42"/>
  <c r="D28" i="42"/>
  <c r="H37" i="42" l="1"/>
  <c r="H38" i="42" s="1"/>
  <c r="H39" i="42" s="1"/>
  <c r="F33" i="42"/>
  <c r="R33" i="42" s="1"/>
  <c r="T31" i="42" s="1"/>
  <c r="N23" i="42"/>
  <c r="N29" i="42"/>
  <c r="N22" i="42"/>
  <c r="R37" i="42"/>
  <c r="R39" i="42" s="1"/>
  <c r="F54" i="25"/>
  <c r="H54" i="25" s="1"/>
  <c r="G53" i="16"/>
  <c r="E62" i="16"/>
  <c r="E44" i="16"/>
  <c r="T37" i="42"/>
  <c r="N36" i="16" s="1"/>
  <c r="E33" i="42"/>
  <c r="D31" i="42"/>
  <c r="D33" i="42"/>
  <c r="G32" i="42"/>
  <c r="N32" i="42" s="1"/>
  <c r="N26" i="42"/>
  <c r="P26" i="42" s="1"/>
  <c r="P37" i="42" s="1"/>
  <c r="G31" i="42"/>
  <c r="N31" i="42" s="1"/>
  <c r="N25" i="42"/>
  <c r="I37" i="42"/>
  <c r="I38" i="42" s="1"/>
  <c r="I39" i="42" s="1"/>
  <c r="D32" i="42"/>
  <c r="D34" i="42"/>
  <c r="F37" i="42"/>
  <c r="F38" i="42" s="1"/>
  <c r="K37" i="42"/>
  <c r="K38" i="42" s="1"/>
  <c r="K39" i="42" s="1"/>
  <c r="G37" i="42" l="1"/>
  <c r="G38" i="42" s="1"/>
  <c r="G39" i="42" s="1"/>
  <c r="N39" i="42" s="1"/>
  <c r="F46" i="25"/>
  <c r="H46" i="25" s="1"/>
  <c r="M36" i="16"/>
  <c r="M35" i="16"/>
  <c r="N35" i="16" s="1"/>
  <c r="P35" i="16" s="1"/>
  <c r="G62" i="16"/>
  <c r="F62" i="25"/>
  <c r="H62" i="25" s="1"/>
  <c r="N42" i="42"/>
  <c r="N47" i="42" s="1"/>
  <c r="E49" i="42"/>
  <c r="F39" i="42"/>
  <c r="N37" i="42"/>
  <c r="N38" i="42" s="1"/>
  <c r="E37" i="42"/>
  <c r="E38" i="42" s="1"/>
  <c r="E39" i="42" s="1"/>
  <c r="D37" i="42"/>
  <c r="D38" i="42" s="1"/>
  <c r="D39" i="42" s="1"/>
  <c r="F41" i="42" l="1"/>
  <c r="H41" i="42" s="1"/>
  <c r="G44" i="16"/>
  <c r="G49" i="42"/>
  <c r="I49" i="42"/>
  <c r="N49" i="42"/>
  <c r="N48" i="42"/>
  <c r="E48" i="42" l="1"/>
  <c r="G48" i="42" s="1"/>
  <c r="G50" i="42" s="1"/>
  <c r="G51" i="42" s="1"/>
  <c r="I48" i="42"/>
  <c r="I50" i="42" s="1"/>
  <c r="I51" i="42" s="1"/>
  <c r="G5" i="16" l="1"/>
  <c r="Y15" i="41"/>
  <c r="J12" i="41"/>
  <c r="L12" i="41" s="1"/>
  <c r="J11" i="41"/>
  <c r="L11" i="41" s="1"/>
  <c r="G10" i="41"/>
  <c r="J10" i="41" s="1"/>
  <c r="L10" i="41" s="1"/>
  <c r="T10" i="41" s="1"/>
  <c r="G9" i="41"/>
  <c r="J9" i="41" s="1"/>
  <c r="L9" i="41" s="1"/>
  <c r="Y8" i="41"/>
  <c r="G8" i="41"/>
  <c r="J8" i="41" s="1"/>
  <c r="L8" i="41" s="1"/>
  <c r="W15" i="41" s="1"/>
  <c r="A8" i="41"/>
  <c r="A9" i="41" s="1"/>
  <c r="A10" i="41" s="1"/>
  <c r="A11" i="41" s="1"/>
  <c r="A12" i="41" s="1"/>
  <c r="G7" i="41"/>
  <c r="J7" i="41" s="1"/>
  <c r="N5" i="41"/>
  <c r="J5" i="41"/>
  <c r="L5" i="41" s="1"/>
  <c r="H72" i="16" l="1"/>
  <c r="H73" i="16" s="1"/>
  <c r="H62" i="16"/>
  <c r="H61" i="16"/>
  <c r="H34" i="16"/>
  <c r="H35" i="16"/>
  <c r="H52" i="16"/>
  <c r="H53" i="16"/>
  <c r="H5" i="25"/>
  <c r="I69" i="25" s="1"/>
  <c r="H44" i="16"/>
  <c r="V10" i="41"/>
  <c r="Z10" i="41" s="1"/>
  <c r="V26" i="41"/>
  <c r="V18" i="41"/>
  <c r="T8" i="41"/>
  <c r="P8" i="41"/>
  <c r="N8" i="41"/>
  <c r="P9" i="41"/>
  <c r="N9" i="41"/>
  <c r="P10" i="41"/>
  <c r="N10" i="41"/>
  <c r="X15" i="41"/>
  <c r="P11" i="41"/>
  <c r="N11" i="41"/>
  <c r="W8" i="41"/>
  <c r="X8" i="41"/>
  <c r="T11" i="41"/>
  <c r="P12" i="41"/>
  <c r="N12" i="41"/>
  <c r="T12" i="41"/>
  <c r="J13" i="41"/>
  <c r="L7" i="41"/>
  <c r="L13" i="41" s="1"/>
  <c r="G4" i="16" s="1"/>
  <c r="T9" i="41"/>
  <c r="AM206" i="22"/>
  <c r="AM125" i="22"/>
  <c r="AM122" i="22"/>
  <c r="AM114" i="22"/>
  <c r="AM110" i="22"/>
  <c r="AM34" i="22"/>
  <c r="AM8" i="22"/>
  <c r="AM220" i="20"/>
  <c r="AM199" i="20"/>
  <c r="AM122" i="20"/>
  <c r="AM118" i="20"/>
  <c r="AM113" i="20"/>
  <c r="AM109" i="20"/>
  <c r="AM47" i="20"/>
  <c r="AK8" i="21"/>
  <c r="AM207" i="21"/>
  <c r="AM128" i="21"/>
  <c r="AM125" i="21"/>
  <c r="AM117" i="21"/>
  <c r="AM113" i="21"/>
  <c r="AM35" i="21"/>
  <c r="I53" i="16" l="1"/>
  <c r="I52" i="16"/>
  <c r="I72" i="16"/>
  <c r="I73" i="16" s="1"/>
  <c r="I44" i="16"/>
  <c r="I34" i="16"/>
  <c r="I62" i="16"/>
  <c r="I61" i="16"/>
  <c r="I35" i="16"/>
  <c r="I47" i="25"/>
  <c r="I63" i="25"/>
  <c r="I55" i="25"/>
  <c r="I46" i="25"/>
  <c r="I53" i="25"/>
  <c r="I54" i="25"/>
  <c r="I45" i="25"/>
  <c r="I61" i="25"/>
  <c r="I62" i="25"/>
  <c r="I36" i="25"/>
  <c r="I37" i="25"/>
  <c r="L19" i="41"/>
  <c r="V7" i="41"/>
  <c r="N7" i="41"/>
  <c r="N13" i="41" s="1"/>
  <c r="N15" i="41" s="1"/>
  <c r="R26" i="41"/>
  <c r="Z26" i="41" s="1"/>
  <c r="P18" i="41"/>
  <c r="R18" i="41" s="1"/>
  <c r="Z18" i="41" s="1"/>
  <c r="R10" i="41"/>
  <c r="S10" i="41" s="1"/>
  <c r="V20" i="41"/>
  <c r="V28" i="41"/>
  <c r="V12" i="41"/>
  <c r="Z12" i="41" s="1"/>
  <c r="R25" i="41"/>
  <c r="P17" i="41"/>
  <c r="R17" i="41" s="1"/>
  <c r="R9" i="41"/>
  <c r="S9" i="41" s="1"/>
  <c r="R12" i="41"/>
  <c r="S12" i="41" s="1"/>
  <c r="P20" i="41"/>
  <c r="R20" i="41" s="1"/>
  <c r="R28" i="41"/>
  <c r="T15" i="41"/>
  <c r="V15" i="41" s="1"/>
  <c r="V24" i="41"/>
  <c r="V8" i="41"/>
  <c r="V25" i="41"/>
  <c r="V17" i="41"/>
  <c r="V9" i="41"/>
  <c r="Z9" i="41" s="1"/>
  <c r="R8" i="41"/>
  <c r="S8" i="41" s="1"/>
  <c r="P15" i="41"/>
  <c r="R15" i="41" s="1"/>
  <c r="R24" i="41"/>
  <c r="V19" i="41"/>
  <c r="V27" i="41"/>
  <c r="V11" i="41"/>
  <c r="Z11" i="41" s="1"/>
  <c r="R11" i="41"/>
  <c r="S11" i="41" s="1"/>
  <c r="P19" i="41"/>
  <c r="R19" i="41" s="1"/>
  <c r="R27" i="41"/>
  <c r="AB10" i="41"/>
  <c r="B5" i="6"/>
  <c r="B6" i="6" s="1"/>
  <c r="E32" i="12"/>
  <c r="E33" i="12" s="1"/>
  <c r="F31" i="12"/>
  <c r="E19" i="12"/>
  <c r="E20" i="12" s="1"/>
  <c r="F18" i="12"/>
  <c r="Z20" i="41" l="1"/>
  <c r="AB12" i="41"/>
  <c r="Z28" i="41"/>
  <c r="AB9" i="41"/>
  <c r="Z17" i="41"/>
  <c r="Z8" i="41"/>
  <c r="AB8" i="41" s="1"/>
  <c r="AB11" i="41"/>
  <c r="V29" i="41"/>
  <c r="Z24" i="41"/>
  <c r="AB24" i="41" s="1"/>
  <c r="Z27" i="41"/>
  <c r="Z15" i="41"/>
  <c r="AB15" i="41" s="1"/>
  <c r="AC15" i="41" s="1"/>
  <c r="V21" i="41"/>
  <c r="Z25" i="41"/>
  <c r="Z19" i="41"/>
  <c r="R29" i="41"/>
  <c r="S24" i="41"/>
  <c r="S15" i="41"/>
  <c r="R21" i="41"/>
  <c r="E34" i="12"/>
  <c r="F34" i="12" s="1"/>
  <c r="F33" i="12"/>
  <c r="F32" i="12"/>
  <c r="E21" i="12"/>
  <c r="E22" i="12" s="1"/>
  <c r="F20" i="12"/>
  <c r="F19" i="12"/>
  <c r="G50" i="15"/>
  <c r="G46" i="15"/>
  <c r="G38" i="15"/>
  <c r="G30" i="15"/>
  <c r="G26" i="15"/>
  <c r="S11" i="15"/>
  <c r="T11" i="15"/>
  <c r="W11" i="15"/>
  <c r="Y11" i="15"/>
  <c r="Z11" i="15"/>
  <c r="AA11" i="15"/>
  <c r="AB11" i="15"/>
  <c r="AC11" i="15"/>
  <c r="AD11" i="15"/>
  <c r="AE11" i="15"/>
  <c r="AF11" i="15"/>
  <c r="AG11" i="15"/>
  <c r="AH11" i="15"/>
  <c r="AI11" i="15"/>
  <c r="AJ11" i="15"/>
  <c r="N11" i="15"/>
  <c r="G18" i="15"/>
  <c r="G10" i="15"/>
  <c r="G6" i="15"/>
  <c r="R9" i="15"/>
  <c r="R11" i="15" s="1"/>
  <c r="R7" i="15"/>
  <c r="V9" i="15"/>
  <c r="V11" i="15" s="1"/>
  <c r="U9" i="15"/>
  <c r="U11" i="15" s="1"/>
  <c r="Q9" i="15"/>
  <c r="Q11" i="15" s="1"/>
  <c r="P9" i="15"/>
  <c r="P11" i="15" s="1"/>
  <c r="O9" i="15"/>
  <c r="O11" i="15" s="1"/>
  <c r="N9" i="15"/>
  <c r="X9" i="15"/>
  <c r="X11" i="15" s="1"/>
  <c r="V7" i="15"/>
  <c r="U7" i="15"/>
  <c r="Q7" i="15"/>
  <c r="P7" i="15"/>
  <c r="O7" i="15"/>
  <c r="N7" i="15"/>
  <c r="X7" i="15"/>
  <c r="E24" i="7"/>
  <c r="I24" i="7" s="1"/>
  <c r="E23" i="7"/>
  <c r="I23" i="7" s="1"/>
  <c r="E22" i="7"/>
  <c r="I22" i="7" s="1"/>
  <c r="E21" i="7"/>
  <c r="E25" i="7"/>
  <c r="I25" i="7" s="1"/>
  <c r="I9" i="7"/>
  <c r="E17" i="7"/>
  <c r="I17" i="7" s="1"/>
  <c r="E16" i="7"/>
  <c r="I16" i="7" s="1"/>
  <c r="E15" i="7"/>
  <c r="I15" i="7" s="1"/>
  <c r="E14" i="7"/>
  <c r="I14" i="7" s="1"/>
  <c r="E13" i="7"/>
  <c r="I8" i="7"/>
  <c r="I7" i="7"/>
  <c r="I5" i="7"/>
  <c r="I6" i="7"/>
  <c r="G73" i="4"/>
  <c r="AJ73" i="4" s="1"/>
  <c r="G69" i="4"/>
  <c r="G68" i="4"/>
  <c r="G66" i="4"/>
  <c r="G61" i="4"/>
  <c r="AJ61" i="4" s="1"/>
  <c r="G60" i="4"/>
  <c r="AJ60" i="4" s="1"/>
  <c r="G59" i="4"/>
  <c r="AJ59" i="4" s="1"/>
  <c r="AB73" i="4"/>
  <c r="R73" i="4"/>
  <c r="O73" i="4"/>
  <c r="L73" i="4"/>
  <c r="H73" i="4"/>
  <c r="AE73" i="4" s="1"/>
  <c r="AJ72" i="4"/>
  <c r="AK71" i="4"/>
  <c r="AJ71" i="4"/>
  <c r="AK70" i="4"/>
  <c r="AJ70" i="4"/>
  <c r="AM69" i="4"/>
  <c r="AL69" i="4"/>
  <c r="AB69" i="4"/>
  <c r="R69" i="4"/>
  <c r="O69" i="4"/>
  <c r="L69" i="4"/>
  <c r="H69" i="4"/>
  <c r="AE69" i="4" s="1"/>
  <c r="AB68" i="4"/>
  <c r="R68" i="4"/>
  <c r="O68" i="4"/>
  <c r="L68" i="4"/>
  <c r="H68" i="4"/>
  <c r="AE68" i="4" s="1"/>
  <c r="AJ68" i="4"/>
  <c r="AM67" i="4"/>
  <c r="AL67" i="4"/>
  <c r="AK67" i="4"/>
  <c r="Z67" i="4"/>
  <c r="W67" i="4"/>
  <c r="AB67" i="4" s="1"/>
  <c r="R67" i="4"/>
  <c r="O67" i="4"/>
  <c r="L67" i="4"/>
  <c r="H67" i="4"/>
  <c r="Q67" i="4" s="1"/>
  <c r="AM66" i="4"/>
  <c r="AL66" i="4"/>
  <c r="AK66" i="4"/>
  <c r="AB66" i="4"/>
  <c r="R66" i="4"/>
  <c r="O66" i="4"/>
  <c r="N66" i="4"/>
  <c r="L66" i="4"/>
  <c r="H66" i="4"/>
  <c r="AE66" i="4" s="1"/>
  <c r="AJ66" i="4"/>
  <c r="AK65" i="4"/>
  <c r="AJ65" i="4"/>
  <c r="AM64" i="4"/>
  <c r="AK64" i="4"/>
  <c r="AJ64" i="4"/>
  <c r="AL63" i="4"/>
  <c r="AK63" i="4"/>
  <c r="AJ63" i="4"/>
  <c r="Z63" i="4"/>
  <c r="W63" i="4"/>
  <c r="R63" i="4"/>
  <c r="Q63" i="4"/>
  <c r="O63" i="4"/>
  <c r="N63" i="4"/>
  <c r="L63" i="4"/>
  <c r="H63" i="4"/>
  <c r="K63" i="4" s="1"/>
  <c r="AM62" i="4"/>
  <c r="AK62" i="4"/>
  <c r="AB62" i="4"/>
  <c r="R62" i="4"/>
  <c r="O62" i="4"/>
  <c r="L62" i="4"/>
  <c r="H62" i="4"/>
  <c r="AE62" i="4" s="1"/>
  <c r="AK61" i="4"/>
  <c r="AB61" i="4"/>
  <c r="R61" i="4"/>
  <c r="O61" i="4"/>
  <c r="L61" i="4"/>
  <c r="H61" i="4"/>
  <c r="AE61" i="4" s="1"/>
  <c r="AK60" i="4"/>
  <c r="AB60" i="4"/>
  <c r="R60" i="4"/>
  <c r="O60" i="4"/>
  <c r="L60" i="4"/>
  <c r="H60" i="4"/>
  <c r="AE60" i="4" s="1"/>
  <c r="AB59" i="4"/>
  <c r="R59" i="4"/>
  <c r="O59" i="4"/>
  <c r="L59" i="4"/>
  <c r="H59" i="4"/>
  <c r="AE59" i="4" s="1"/>
  <c r="AK58" i="4"/>
  <c r="AJ58" i="4"/>
  <c r="G45" i="4"/>
  <c r="G56" i="4"/>
  <c r="G52" i="4"/>
  <c r="G51" i="4"/>
  <c r="G49" i="4"/>
  <c r="AJ49" i="4" s="1"/>
  <c r="G44" i="4"/>
  <c r="Q44" i="4" s="1"/>
  <c r="G43" i="4"/>
  <c r="G42" i="4"/>
  <c r="AB56" i="4"/>
  <c r="R56" i="4"/>
  <c r="O56" i="4"/>
  <c r="L56" i="4"/>
  <c r="K56" i="4"/>
  <c r="H56" i="4"/>
  <c r="AE56" i="4" s="1"/>
  <c r="AH56" i="4"/>
  <c r="AJ55" i="4"/>
  <c r="AK54" i="4"/>
  <c r="AJ54" i="4"/>
  <c r="AK53" i="4"/>
  <c r="AJ53" i="4"/>
  <c r="AM52" i="4"/>
  <c r="AL52" i="4"/>
  <c r="AB52" i="4"/>
  <c r="R52" i="4"/>
  <c r="O52" i="4"/>
  <c r="L52" i="4"/>
  <c r="H52" i="4"/>
  <c r="AE52" i="4" s="1"/>
  <c r="AB51" i="4"/>
  <c r="R51" i="4"/>
  <c r="O51" i="4"/>
  <c r="L51" i="4"/>
  <c r="H51" i="4"/>
  <c r="AE51" i="4" s="1"/>
  <c r="AJ51" i="4"/>
  <c r="AM50" i="4"/>
  <c r="AL50" i="4"/>
  <c r="AK50" i="4"/>
  <c r="Z50" i="4"/>
  <c r="W50" i="4"/>
  <c r="AB50" i="4" s="1"/>
  <c r="R50" i="4"/>
  <c r="O50" i="4"/>
  <c r="L50" i="4"/>
  <c r="H50" i="4"/>
  <c r="Q50" i="4" s="1"/>
  <c r="AM49" i="4"/>
  <c r="AL49" i="4"/>
  <c r="AK49" i="4"/>
  <c r="AB49" i="4"/>
  <c r="R49" i="4"/>
  <c r="O49" i="4"/>
  <c r="L49" i="4"/>
  <c r="H49" i="4"/>
  <c r="AE49" i="4" s="1"/>
  <c r="AK48" i="4"/>
  <c r="AJ48" i="4"/>
  <c r="AM47" i="4"/>
  <c r="AK47" i="4"/>
  <c r="AJ47" i="4"/>
  <c r="AL46" i="4"/>
  <c r="AK46" i="4"/>
  <c r="AJ46" i="4"/>
  <c r="Z46" i="4"/>
  <c r="W46" i="4"/>
  <c r="R46" i="4"/>
  <c r="O46" i="4"/>
  <c r="L46" i="4"/>
  <c r="H46" i="4"/>
  <c r="K46" i="4" s="1"/>
  <c r="AM45" i="4"/>
  <c r="AK45" i="4"/>
  <c r="AB45" i="4"/>
  <c r="R45" i="4"/>
  <c r="O45" i="4"/>
  <c r="L45" i="4"/>
  <c r="H45" i="4"/>
  <c r="AE45" i="4" s="1"/>
  <c r="AK44" i="4"/>
  <c r="AB44" i="4"/>
  <c r="R44" i="4"/>
  <c r="O44" i="4"/>
  <c r="L44" i="4"/>
  <c r="H44" i="4"/>
  <c r="AE44" i="4" s="1"/>
  <c r="AK43" i="4"/>
  <c r="AB43" i="4"/>
  <c r="R43" i="4"/>
  <c r="O43" i="4"/>
  <c r="L43" i="4"/>
  <c r="H43" i="4"/>
  <c r="AE43" i="4" s="1"/>
  <c r="AJ43" i="4"/>
  <c r="AB42" i="4"/>
  <c r="R42" i="4"/>
  <c r="O42" i="4"/>
  <c r="L42" i="4"/>
  <c r="H42" i="4"/>
  <c r="AK41" i="4"/>
  <c r="AJ41" i="4"/>
  <c r="G39" i="4"/>
  <c r="AJ39" i="4" s="1"/>
  <c r="G35" i="4"/>
  <c r="G34" i="4"/>
  <c r="G32" i="4"/>
  <c r="G27" i="4"/>
  <c r="AK27" i="4"/>
  <c r="AB27" i="4"/>
  <c r="R27" i="4"/>
  <c r="O27" i="4"/>
  <c r="L27" i="4"/>
  <c r="H27" i="4"/>
  <c r="AE27" i="4" s="1"/>
  <c r="G26" i="4"/>
  <c r="G25" i="4"/>
  <c r="G22" i="4"/>
  <c r="G21" i="4"/>
  <c r="G20" i="4"/>
  <c r="G19" i="4"/>
  <c r="G18" i="4"/>
  <c r="G17" i="4"/>
  <c r="G16" i="4"/>
  <c r="G15" i="4"/>
  <c r="G14" i="4"/>
  <c r="G12" i="4"/>
  <c r="G11" i="4"/>
  <c r="G8" i="4"/>
  <c r="G7" i="4"/>
  <c r="G6" i="4"/>
  <c r="AQ273" i="22"/>
  <c r="AL271" i="22"/>
  <c r="AI271" i="22"/>
  <c r="AF271" i="22"/>
  <c r="Z271" i="22"/>
  <c r="W271" i="22"/>
  <c r="AB271" i="22" s="1"/>
  <c r="R271" i="22"/>
  <c r="O271" i="22"/>
  <c r="L271" i="22"/>
  <c r="H271" i="22"/>
  <c r="AA271" i="22" s="1"/>
  <c r="AN270" i="22"/>
  <c r="AL270" i="22"/>
  <c r="R270" i="22"/>
  <c r="O270" i="22"/>
  <c r="L270" i="22"/>
  <c r="H270" i="22"/>
  <c r="G270" i="22"/>
  <c r="AL269" i="22"/>
  <c r="AF269" i="22"/>
  <c r="Z269" i="22"/>
  <c r="R269" i="22"/>
  <c r="O269" i="22"/>
  <c r="L269" i="22"/>
  <c r="H269" i="22"/>
  <c r="AN268" i="22"/>
  <c r="AL268" i="22"/>
  <c r="R268" i="22"/>
  <c r="O268" i="22"/>
  <c r="L268" i="22"/>
  <c r="H268" i="22"/>
  <c r="G268" i="22"/>
  <c r="AT268" i="22" s="1"/>
  <c r="AL265" i="22"/>
  <c r="AF265" i="22"/>
  <c r="Z265" i="22"/>
  <c r="R265" i="22"/>
  <c r="O265" i="22"/>
  <c r="L265" i="22"/>
  <c r="H265" i="22"/>
  <c r="AN264" i="22"/>
  <c r="AL264" i="22"/>
  <c r="R264" i="22"/>
  <c r="O264" i="22"/>
  <c r="L264" i="22"/>
  <c r="H264" i="22"/>
  <c r="G264" i="22"/>
  <c r="AT264" i="22" s="1"/>
  <c r="AL263" i="22"/>
  <c r="AI263" i="22"/>
  <c r="AF263" i="22"/>
  <c r="Z263" i="22"/>
  <c r="W263" i="22"/>
  <c r="AB263" i="22" s="1"/>
  <c r="R263" i="22"/>
  <c r="O263" i="22"/>
  <c r="L263" i="22"/>
  <c r="H263" i="22"/>
  <c r="AA263" i="22" s="1"/>
  <c r="AN262" i="22"/>
  <c r="AL262" i="22"/>
  <c r="R262" i="22"/>
  <c r="O262" i="22"/>
  <c r="L262" i="22"/>
  <c r="H262" i="22"/>
  <c r="AK262" i="22"/>
  <c r="AN259" i="22"/>
  <c r="AL259" i="22"/>
  <c r="R259" i="22"/>
  <c r="O259" i="22"/>
  <c r="L259" i="22"/>
  <c r="H259" i="22"/>
  <c r="G259" i="22"/>
  <c r="AT259" i="22" s="1"/>
  <c r="AM257" i="22"/>
  <c r="AL257" i="22"/>
  <c r="AF257" i="22"/>
  <c r="Z257" i="22"/>
  <c r="R257" i="22"/>
  <c r="O257" i="22"/>
  <c r="L257" i="22"/>
  <c r="H257" i="22"/>
  <c r="AN256" i="22"/>
  <c r="AL256" i="22"/>
  <c r="R256" i="22"/>
  <c r="O256" i="22"/>
  <c r="L256" i="22"/>
  <c r="H256" i="22"/>
  <c r="AI256" i="22"/>
  <c r="AL255" i="22"/>
  <c r="AI255" i="22"/>
  <c r="AF255" i="22"/>
  <c r="Z255" i="22"/>
  <c r="W255" i="22"/>
  <c r="AB255" i="22" s="1"/>
  <c r="R255" i="22"/>
  <c r="O255" i="22"/>
  <c r="L255" i="22"/>
  <c r="H255" i="22"/>
  <c r="AN254" i="22"/>
  <c r="AL254" i="22"/>
  <c r="R254" i="22"/>
  <c r="O254" i="22"/>
  <c r="L254" i="22"/>
  <c r="H254" i="22"/>
  <c r="G254" i="22"/>
  <c r="AT254" i="22" s="1"/>
  <c r="AL251" i="22"/>
  <c r="R251" i="22"/>
  <c r="O251" i="22"/>
  <c r="L251" i="22"/>
  <c r="H251" i="22"/>
  <c r="G251" i="22"/>
  <c r="AT251" i="22" s="1"/>
  <c r="AL250" i="22"/>
  <c r="R250" i="22"/>
  <c r="O250" i="22"/>
  <c r="L250" i="22"/>
  <c r="H250" i="22"/>
  <c r="G250" i="22"/>
  <c r="AT250" i="22" s="1"/>
  <c r="AL249" i="22"/>
  <c r="AK249" i="22"/>
  <c r="Z249" i="22"/>
  <c r="W249" i="22"/>
  <c r="AB249" i="22" s="1"/>
  <c r="R249" i="22"/>
  <c r="O249" i="22"/>
  <c r="L249" i="22"/>
  <c r="H249" i="22"/>
  <c r="Q249" i="22" s="1"/>
  <c r="AN248" i="22"/>
  <c r="AL248" i="22"/>
  <c r="R248" i="22"/>
  <c r="O248" i="22"/>
  <c r="L248" i="22"/>
  <c r="H248" i="22"/>
  <c r="G248" i="22"/>
  <c r="AP247" i="22"/>
  <c r="AN247" i="22"/>
  <c r="AL247" i="22"/>
  <c r="AK247" i="22"/>
  <c r="AL245" i="22"/>
  <c r="R245" i="22"/>
  <c r="O245" i="22"/>
  <c r="L245" i="22"/>
  <c r="H245" i="22"/>
  <c r="G245" i="22"/>
  <c r="AT245" i="22" s="1"/>
  <c r="AL244" i="22"/>
  <c r="R244" i="22"/>
  <c r="O244" i="22"/>
  <c r="L244" i="22"/>
  <c r="H244" i="22"/>
  <c r="G244" i="22"/>
  <c r="AL243" i="22"/>
  <c r="AK243" i="22"/>
  <c r="Z243" i="22"/>
  <c r="W243" i="22"/>
  <c r="AB243" i="22" s="1"/>
  <c r="R243" i="22"/>
  <c r="O243" i="22"/>
  <c r="L243" i="22"/>
  <c r="H243" i="22"/>
  <c r="AA243" i="22" s="1"/>
  <c r="AN242" i="22"/>
  <c r="AL242" i="22"/>
  <c r="R242" i="22"/>
  <c r="O242" i="22"/>
  <c r="L242" i="22"/>
  <c r="H242" i="22"/>
  <c r="G242" i="22"/>
  <c r="AT242" i="22" s="1"/>
  <c r="AP241" i="22"/>
  <c r="AN241" i="22"/>
  <c r="AL241" i="22"/>
  <c r="AK241" i="22"/>
  <c r="AN239" i="22"/>
  <c r="AL239" i="22"/>
  <c r="R239" i="22"/>
  <c r="O239" i="22"/>
  <c r="L239" i="22"/>
  <c r="H239" i="22"/>
  <c r="AL238" i="22"/>
  <c r="AI238" i="22"/>
  <c r="AF238" i="22"/>
  <c r="Z238" i="22"/>
  <c r="W238" i="22"/>
  <c r="R238" i="22"/>
  <c r="O238" i="22"/>
  <c r="L238" i="22"/>
  <c r="H238" i="22"/>
  <c r="AN237" i="22"/>
  <c r="AL237" i="22"/>
  <c r="R237" i="22"/>
  <c r="O237" i="22"/>
  <c r="L237" i="22"/>
  <c r="H237" i="22"/>
  <c r="AN236" i="22"/>
  <c r="AL236" i="22"/>
  <c r="R236" i="22"/>
  <c r="O236" i="22"/>
  <c r="L236" i="22"/>
  <c r="H236" i="22"/>
  <c r="AI236" i="22"/>
  <c r="AN233" i="22"/>
  <c r="AL233" i="22"/>
  <c r="R233" i="22"/>
  <c r="O233" i="22"/>
  <c r="L233" i="22"/>
  <c r="H233" i="22"/>
  <c r="G233" i="22"/>
  <c r="AT233" i="22" s="1"/>
  <c r="AL232" i="22"/>
  <c r="AK232" i="22"/>
  <c r="AI232" i="22"/>
  <c r="AE232" i="22"/>
  <c r="Y232" i="22"/>
  <c r="W232" i="22"/>
  <c r="AB232" i="22" s="1"/>
  <c r="R232" i="22"/>
  <c r="Q232" i="22"/>
  <c r="O232" i="22"/>
  <c r="N232" i="22"/>
  <c r="L232" i="22"/>
  <c r="K232" i="22"/>
  <c r="H232" i="22"/>
  <c r="AA232" i="22" s="1"/>
  <c r="AL231" i="22"/>
  <c r="AK231" i="22"/>
  <c r="AI231" i="22"/>
  <c r="AE231" i="22"/>
  <c r="Y231" i="22"/>
  <c r="W231" i="22"/>
  <c r="R231" i="22"/>
  <c r="Q231" i="22"/>
  <c r="O231" i="22"/>
  <c r="N231" i="22"/>
  <c r="L231" i="22"/>
  <c r="K231" i="22"/>
  <c r="H231" i="22"/>
  <c r="AA231" i="22" s="1"/>
  <c r="AK230" i="22"/>
  <c r="Q230" i="22"/>
  <c r="N230" i="22"/>
  <c r="K230" i="22"/>
  <c r="H230" i="22"/>
  <c r="G230" i="22"/>
  <c r="AT230" i="22" s="1"/>
  <c r="AI229" i="22"/>
  <c r="AF229" i="22"/>
  <c r="Z229" i="22"/>
  <c r="W229" i="22"/>
  <c r="R229" i="22"/>
  <c r="O229" i="22"/>
  <c r="L229" i="22"/>
  <c r="H229" i="22"/>
  <c r="K229" i="22" s="1"/>
  <c r="AN228" i="22"/>
  <c r="AL228" i="22"/>
  <c r="R228" i="22"/>
  <c r="O228" i="22"/>
  <c r="L228" i="22"/>
  <c r="H228" i="22"/>
  <c r="G228" i="22"/>
  <c r="AL227" i="22"/>
  <c r="AK227" i="22"/>
  <c r="AI227" i="22"/>
  <c r="AE227" i="22"/>
  <c r="Y227" i="22"/>
  <c r="W227" i="22"/>
  <c r="R227" i="22"/>
  <c r="Q227" i="22"/>
  <c r="O227" i="22"/>
  <c r="N227" i="22"/>
  <c r="L227" i="22"/>
  <c r="K227" i="22"/>
  <c r="H227" i="22"/>
  <c r="AA227" i="22" s="1"/>
  <c r="AK226" i="22"/>
  <c r="Q226" i="22"/>
  <c r="N226" i="22"/>
  <c r="K226" i="22"/>
  <c r="H226" i="22"/>
  <c r="G226" i="22"/>
  <c r="AK223" i="22"/>
  <c r="AE223" i="22"/>
  <c r="AB223" i="22"/>
  <c r="Q223" i="22"/>
  <c r="N223" i="22"/>
  <c r="K223" i="22"/>
  <c r="I223" i="22"/>
  <c r="H223" i="22"/>
  <c r="AF223" i="22" s="1"/>
  <c r="G223" i="22"/>
  <c r="AL222" i="22"/>
  <c r="AK222" i="22"/>
  <c r="AI222" i="22"/>
  <c r="AE222" i="22"/>
  <c r="Y222" i="22"/>
  <c r="W222" i="22"/>
  <c r="AB222" i="22" s="1"/>
  <c r="R222" i="22"/>
  <c r="Q222" i="22"/>
  <c r="O222" i="22"/>
  <c r="N222" i="22"/>
  <c r="L222" i="22"/>
  <c r="K222" i="22"/>
  <c r="H222" i="22"/>
  <c r="AA222" i="22" s="1"/>
  <c r="AL221" i="22"/>
  <c r="AK221" i="22"/>
  <c r="AI221" i="22"/>
  <c r="AE221" i="22"/>
  <c r="Y221" i="22"/>
  <c r="W221" i="22"/>
  <c r="R221" i="22"/>
  <c r="Q221" i="22"/>
  <c r="O221" i="22"/>
  <c r="N221" i="22"/>
  <c r="L221" i="22"/>
  <c r="K221" i="22"/>
  <c r="H221" i="22"/>
  <c r="AA221" i="22" s="1"/>
  <c r="AK220" i="22"/>
  <c r="Q220" i="22"/>
  <c r="N220" i="22"/>
  <c r="K220" i="22"/>
  <c r="H220" i="22"/>
  <c r="G220" i="22"/>
  <c r="AN219" i="22"/>
  <c r="AL219" i="22"/>
  <c r="AK219" i="22"/>
  <c r="AI219" i="22"/>
  <c r="AF219" i="22"/>
  <c r="Z219" i="22"/>
  <c r="W219" i="22"/>
  <c r="R219" i="22"/>
  <c r="O219" i="22"/>
  <c r="L219" i="22"/>
  <c r="H219" i="22"/>
  <c r="AA219" i="22" s="1"/>
  <c r="AN218" i="22"/>
  <c r="AL218" i="22"/>
  <c r="R218" i="22"/>
  <c r="O218" i="22"/>
  <c r="L218" i="22"/>
  <c r="H218" i="22"/>
  <c r="G218" i="22"/>
  <c r="AI217" i="22"/>
  <c r="AF217" i="22"/>
  <c r="Z217" i="22"/>
  <c r="W217" i="22"/>
  <c r="AB217" i="22" s="1"/>
  <c r="R217" i="22"/>
  <c r="O217" i="22"/>
  <c r="L217" i="22"/>
  <c r="H217" i="22"/>
  <c r="AA217" i="22" s="1"/>
  <c r="AN216" i="22"/>
  <c r="AL216" i="22"/>
  <c r="R216" i="22"/>
  <c r="O216" i="22"/>
  <c r="L216" i="22"/>
  <c r="H216" i="22"/>
  <c r="G216" i="22"/>
  <c r="AT216" i="22" s="1"/>
  <c r="AI214" i="22"/>
  <c r="AF214" i="22"/>
  <c r="Z214" i="22"/>
  <c r="W214" i="22"/>
  <c r="R214" i="22"/>
  <c r="O214" i="22"/>
  <c r="L214" i="22"/>
  <c r="H214" i="22"/>
  <c r="AN213" i="22"/>
  <c r="AL213" i="22"/>
  <c r="R213" i="22"/>
  <c r="O213" i="22"/>
  <c r="L213" i="22"/>
  <c r="H213" i="22"/>
  <c r="AI212" i="22"/>
  <c r="AF212" i="22"/>
  <c r="Z212" i="22"/>
  <c r="W212" i="22"/>
  <c r="R212" i="22"/>
  <c r="O212" i="22"/>
  <c r="L212" i="22"/>
  <c r="H212" i="22"/>
  <c r="Q212" i="22" s="1"/>
  <c r="AN211" i="22"/>
  <c r="AL211" i="22"/>
  <c r="R211" i="22"/>
  <c r="O211" i="22"/>
  <c r="L211" i="22"/>
  <c r="H211" i="22"/>
  <c r="G211" i="22"/>
  <c r="AT211" i="22" s="1"/>
  <c r="AN208" i="22"/>
  <c r="AL208" i="22"/>
  <c r="R208" i="22"/>
  <c r="O208" i="22"/>
  <c r="L208" i="22"/>
  <c r="H208" i="22"/>
  <c r="G208" i="22"/>
  <c r="AT208" i="22" s="1"/>
  <c r="AN207" i="22"/>
  <c r="AL207" i="22"/>
  <c r="R207" i="22"/>
  <c r="O207" i="22"/>
  <c r="L207" i="22"/>
  <c r="H207" i="22"/>
  <c r="G207" i="22"/>
  <c r="AN206" i="22"/>
  <c r="AL206" i="22"/>
  <c r="AK206" i="22"/>
  <c r="AI206" i="22"/>
  <c r="AF206" i="22"/>
  <c r="Z206" i="22"/>
  <c r="W206" i="22"/>
  <c r="R206" i="22"/>
  <c r="O206" i="22"/>
  <c r="L206" i="22"/>
  <c r="H206" i="22"/>
  <c r="N206" i="22" s="1"/>
  <c r="AN205" i="22"/>
  <c r="AL205" i="22"/>
  <c r="R205" i="22"/>
  <c r="O205" i="22"/>
  <c r="L205" i="22"/>
  <c r="H205" i="22"/>
  <c r="G205" i="22"/>
  <c r="AN204" i="22"/>
  <c r="AL204" i="22"/>
  <c r="R204" i="22"/>
  <c r="O204" i="22"/>
  <c r="L204" i="22"/>
  <c r="H204" i="22"/>
  <c r="G204" i="22"/>
  <c r="AT204" i="22" s="1"/>
  <c r="AM199" i="22"/>
  <c r="AL199" i="22"/>
  <c r="AF199" i="22"/>
  <c r="Z199" i="22"/>
  <c r="R199" i="22"/>
  <c r="O199" i="22"/>
  <c r="L199" i="22"/>
  <c r="H199" i="22"/>
  <c r="AN198" i="22"/>
  <c r="AL198" i="22"/>
  <c r="R198" i="22"/>
  <c r="O198" i="22"/>
  <c r="L198" i="22"/>
  <c r="H198" i="22"/>
  <c r="AK198" i="22"/>
  <c r="AL196" i="22"/>
  <c r="AI196" i="22"/>
  <c r="AF196" i="22"/>
  <c r="Z196" i="22"/>
  <c r="W196" i="22"/>
  <c r="R196" i="22"/>
  <c r="O196" i="22"/>
  <c r="L196" i="22"/>
  <c r="H196" i="22"/>
  <c r="Q196" i="22" s="1"/>
  <c r="AN195" i="22"/>
  <c r="AL195" i="22"/>
  <c r="R195" i="22"/>
  <c r="O195" i="22"/>
  <c r="L195" i="22"/>
  <c r="H195" i="22"/>
  <c r="AL194" i="22"/>
  <c r="AI194" i="22"/>
  <c r="AF194" i="22"/>
  <c r="Z194" i="22"/>
  <c r="W194" i="22"/>
  <c r="AB194" i="22" s="1"/>
  <c r="R194" i="22"/>
  <c r="O194" i="22"/>
  <c r="L194" i="22"/>
  <c r="H194" i="22"/>
  <c r="AN193" i="22"/>
  <c r="AL193" i="22"/>
  <c r="R193" i="22"/>
  <c r="O193" i="22"/>
  <c r="L193" i="22"/>
  <c r="H193" i="22"/>
  <c r="G193" i="22"/>
  <c r="AN190" i="22"/>
  <c r="AL190" i="22"/>
  <c r="R190" i="22"/>
  <c r="O190" i="22"/>
  <c r="L190" i="22"/>
  <c r="H190" i="22"/>
  <c r="G190" i="22"/>
  <c r="AT190" i="22" s="1"/>
  <c r="AL189" i="22"/>
  <c r="AF189" i="22"/>
  <c r="Z189" i="22"/>
  <c r="R189" i="22"/>
  <c r="O189" i="22"/>
  <c r="L189" i="22"/>
  <c r="H189" i="22"/>
  <c r="AN188" i="22"/>
  <c r="AL188" i="22"/>
  <c r="R188" i="22"/>
  <c r="O188" i="22"/>
  <c r="L188" i="22"/>
  <c r="H188" i="22"/>
  <c r="G188" i="22"/>
  <c r="AL187" i="22"/>
  <c r="AI187" i="22"/>
  <c r="AF187" i="22"/>
  <c r="Z187" i="22"/>
  <c r="W187" i="22"/>
  <c r="R187" i="22"/>
  <c r="O187" i="22"/>
  <c r="L187" i="22"/>
  <c r="H187" i="22"/>
  <c r="AN186" i="22"/>
  <c r="AL186" i="22"/>
  <c r="R186" i="22"/>
  <c r="O186" i="22"/>
  <c r="L186" i="22"/>
  <c r="H186" i="22"/>
  <c r="G186" i="22"/>
  <c r="AL183" i="22"/>
  <c r="AF183" i="22"/>
  <c r="Z183" i="22"/>
  <c r="R183" i="22"/>
  <c r="O183" i="22"/>
  <c r="L183" i="22"/>
  <c r="H183" i="22"/>
  <c r="AN182" i="22"/>
  <c r="AL182" i="22"/>
  <c r="R182" i="22"/>
  <c r="O182" i="22"/>
  <c r="L182" i="22"/>
  <c r="H182" i="22"/>
  <c r="G182" i="22"/>
  <c r="AT182" i="22" s="1"/>
  <c r="AN181" i="22"/>
  <c r="AL181" i="22"/>
  <c r="R181" i="22"/>
  <c r="O181" i="22"/>
  <c r="L181" i="22"/>
  <c r="H181" i="22"/>
  <c r="G181" i="22"/>
  <c r="AT181" i="22" s="1"/>
  <c r="AL180" i="22"/>
  <c r="AI180" i="22"/>
  <c r="AF180" i="22"/>
  <c r="Z180" i="22"/>
  <c r="W180" i="22"/>
  <c r="AB180" i="22" s="1"/>
  <c r="R180" i="22"/>
  <c r="O180" i="22"/>
  <c r="L180" i="22"/>
  <c r="H180" i="22"/>
  <c r="N180" i="22" s="1"/>
  <c r="AN179" i="22"/>
  <c r="AL179" i="22"/>
  <c r="R179" i="22"/>
  <c r="O179" i="22"/>
  <c r="L179" i="22"/>
  <c r="H179" i="22"/>
  <c r="G179" i="22"/>
  <c r="AT179" i="22" s="1"/>
  <c r="AN176" i="22"/>
  <c r="AL176" i="22"/>
  <c r="R176" i="22"/>
  <c r="O176" i="22"/>
  <c r="L176" i="22"/>
  <c r="H176" i="22"/>
  <c r="G176" i="22"/>
  <c r="AT176" i="22" s="1"/>
  <c r="AL175" i="22"/>
  <c r="AF175" i="22"/>
  <c r="Z175" i="22"/>
  <c r="R175" i="22"/>
  <c r="O175" i="22"/>
  <c r="L175" i="22"/>
  <c r="H175" i="22"/>
  <c r="AN174" i="22"/>
  <c r="AL174" i="22"/>
  <c r="R174" i="22"/>
  <c r="O174" i="22"/>
  <c r="L174" i="22"/>
  <c r="H174" i="22"/>
  <c r="G174" i="22"/>
  <c r="AN173" i="22"/>
  <c r="AL173" i="22"/>
  <c r="R173" i="22"/>
  <c r="O173" i="22"/>
  <c r="L173" i="22"/>
  <c r="H173" i="22"/>
  <c r="G173" i="22"/>
  <c r="AL172" i="22"/>
  <c r="AI172" i="22"/>
  <c r="AF172" i="22"/>
  <c r="Z172" i="22"/>
  <c r="W172" i="22"/>
  <c r="R172" i="22"/>
  <c r="O172" i="22"/>
  <c r="L172" i="22"/>
  <c r="H172" i="22"/>
  <c r="Q172" i="22" s="1"/>
  <c r="AN171" i="22"/>
  <c r="AL171" i="22"/>
  <c r="R171" i="22"/>
  <c r="O171" i="22"/>
  <c r="L171" i="22"/>
  <c r="H171" i="22"/>
  <c r="G171" i="22"/>
  <c r="AT171" i="22" s="1"/>
  <c r="AL158" i="22"/>
  <c r="R158" i="22"/>
  <c r="O158" i="22"/>
  <c r="L158" i="22"/>
  <c r="H158" i="22"/>
  <c r="G158" i="22"/>
  <c r="AL157" i="22"/>
  <c r="R157" i="22"/>
  <c r="O157" i="22"/>
  <c r="L157" i="22"/>
  <c r="H157" i="22"/>
  <c r="G157" i="22"/>
  <c r="AT157" i="22" s="1"/>
  <c r="AL156" i="22"/>
  <c r="AK156" i="22"/>
  <c r="Z156" i="22"/>
  <c r="W156" i="22"/>
  <c r="AB156" i="22" s="1"/>
  <c r="R156" i="22"/>
  <c r="O156" i="22"/>
  <c r="L156" i="22"/>
  <c r="H156" i="22"/>
  <c r="K156" i="22" s="1"/>
  <c r="AN155" i="22"/>
  <c r="AL155" i="22"/>
  <c r="R155" i="22"/>
  <c r="O155" i="22"/>
  <c r="L155" i="22"/>
  <c r="H155" i="22"/>
  <c r="G155" i="22"/>
  <c r="AT155" i="22" s="1"/>
  <c r="AP154" i="22"/>
  <c r="AN154" i="22"/>
  <c r="AL154" i="22"/>
  <c r="AK154" i="22"/>
  <c r="AL153" i="22"/>
  <c r="AK153" i="22"/>
  <c r="AL152" i="22"/>
  <c r="R152" i="22"/>
  <c r="O152" i="22"/>
  <c r="L152" i="22"/>
  <c r="H152" i="22"/>
  <c r="G152" i="22"/>
  <c r="AL151" i="22"/>
  <c r="R151" i="22"/>
  <c r="O151" i="22"/>
  <c r="L151" i="22"/>
  <c r="H151" i="22"/>
  <c r="G151" i="22"/>
  <c r="AT151" i="22" s="1"/>
  <c r="AL150" i="22"/>
  <c r="AK150" i="22"/>
  <c r="Z150" i="22"/>
  <c r="W150" i="22"/>
  <c r="AB150" i="22" s="1"/>
  <c r="R150" i="22"/>
  <c r="O150" i="22"/>
  <c r="L150" i="22"/>
  <c r="H150" i="22"/>
  <c r="AN149" i="22"/>
  <c r="AL149" i="22"/>
  <c r="R149" i="22"/>
  <c r="O149" i="22"/>
  <c r="L149" i="22"/>
  <c r="H149" i="22"/>
  <c r="G149" i="22"/>
  <c r="AN148" i="22"/>
  <c r="AL148" i="22"/>
  <c r="AK148" i="22"/>
  <c r="AL147" i="22"/>
  <c r="AK147" i="22"/>
  <c r="AL146" i="22"/>
  <c r="R146" i="22"/>
  <c r="O146" i="22"/>
  <c r="L146" i="22"/>
  <c r="H146" i="22"/>
  <c r="AL145" i="22"/>
  <c r="R145" i="22"/>
  <c r="O145" i="22"/>
  <c r="L145" i="22"/>
  <c r="H145" i="22"/>
  <c r="AL144" i="22"/>
  <c r="AK144" i="22"/>
  <c r="AL141" i="22"/>
  <c r="R141" i="22"/>
  <c r="O141" i="22"/>
  <c r="L141" i="22"/>
  <c r="H141" i="22"/>
  <c r="G141" i="22"/>
  <c r="AT141" i="22" s="1"/>
  <c r="AL140" i="22"/>
  <c r="R140" i="22"/>
  <c r="O140" i="22"/>
  <c r="L140" i="22"/>
  <c r="H140" i="22"/>
  <c r="G140" i="22"/>
  <c r="AT140" i="22" s="1"/>
  <c r="AL139" i="22"/>
  <c r="R139" i="22"/>
  <c r="O139" i="22"/>
  <c r="L139" i="22"/>
  <c r="H139" i="22"/>
  <c r="G139" i="22"/>
  <c r="AT139" i="22" s="1"/>
  <c r="AL138" i="22"/>
  <c r="AK138" i="22"/>
  <c r="AL137" i="22"/>
  <c r="AK137" i="22"/>
  <c r="AM136" i="22"/>
  <c r="AL136" i="22"/>
  <c r="AF136" i="22"/>
  <c r="Z136" i="22"/>
  <c r="R136" i="22"/>
  <c r="O136" i="22"/>
  <c r="L136" i="22"/>
  <c r="H136" i="22"/>
  <c r="AL135" i="22"/>
  <c r="R135" i="22"/>
  <c r="O135" i="22"/>
  <c r="L135" i="22"/>
  <c r="H135" i="22"/>
  <c r="G135" i="22"/>
  <c r="AM134" i="22"/>
  <c r="AL134" i="22"/>
  <c r="AF134" i="22"/>
  <c r="Z134" i="22"/>
  <c r="R134" i="22"/>
  <c r="O134" i="22"/>
  <c r="L134" i="22"/>
  <c r="H134" i="22"/>
  <c r="AL133" i="22"/>
  <c r="R133" i="22"/>
  <c r="O133" i="22"/>
  <c r="L133" i="22"/>
  <c r="H133" i="22"/>
  <c r="G133" i="22"/>
  <c r="AL132" i="22"/>
  <c r="R132" i="22"/>
  <c r="O132" i="22"/>
  <c r="L132" i="22"/>
  <c r="H132" i="22"/>
  <c r="G132" i="22"/>
  <c r="AT132" i="22" s="1"/>
  <c r="AN131" i="22"/>
  <c r="AL131" i="22"/>
  <c r="AK131" i="22"/>
  <c r="AL129" i="22"/>
  <c r="R129" i="22"/>
  <c r="O129" i="22"/>
  <c r="L129" i="22"/>
  <c r="H129" i="22"/>
  <c r="G129" i="22"/>
  <c r="AT129" i="22" s="1"/>
  <c r="AN125" i="22"/>
  <c r="AL125" i="22"/>
  <c r="AK125" i="22"/>
  <c r="AI125" i="22"/>
  <c r="AF125" i="22"/>
  <c r="Z125" i="22"/>
  <c r="W125" i="22"/>
  <c r="AB125" i="22" s="1"/>
  <c r="R125" i="22"/>
  <c r="O125" i="22"/>
  <c r="L125" i="22"/>
  <c r="H125" i="22"/>
  <c r="K125" i="22" s="1"/>
  <c r="AL124" i="22"/>
  <c r="R124" i="22"/>
  <c r="O124" i="22"/>
  <c r="L124" i="22"/>
  <c r="H124" i="22"/>
  <c r="AL123" i="22"/>
  <c r="R123" i="22"/>
  <c r="O123" i="22"/>
  <c r="L123" i="22"/>
  <c r="H123" i="22"/>
  <c r="AN122" i="22"/>
  <c r="AL122" i="22"/>
  <c r="AK122" i="22"/>
  <c r="AI122" i="22"/>
  <c r="AF122" i="22"/>
  <c r="Z122" i="22"/>
  <c r="W122" i="22"/>
  <c r="AB122" i="22" s="1"/>
  <c r="R122" i="22"/>
  <c r="O122" i="22"/>
  <c r="L122" i="22"/>
  <c r="H122" i="22"/>
  <c r="AL121" i="22"/>
  <c r="R121" i="22"/>
  <c r="O121" i="22"/>
  <c r="L121" i="22"/>
  <c r="H121" i="22"/>
  <c r="G121" i="22"/>
  <c r="AT121" i="22" s="1"/>
  <c r="AL118" i="22"/>
  <c r="R118" i="22"/>
  <c r="O118" i="22"/>
  <c r="L118" i="22"/>
  <c r="H118" i="22"/>
  <c r="AN114" i="22"/>
  <c r="AL114" i="22"/>
  <c r="AK114" i="22"/>
  <c r="AI114" i="22"/>
  <c r="AF114" i="22"/>
  <c r="Z114" i="22"/>
  <c r="W114" i="22"/>
  <c r="R114" i="22"/>
  <c r="O114" i="22"/>
  <c r="L114" i="22"/>
  <c r="H114" i="22"/>
  <c r="AL113" i="22"/>
  <c r="R113" i="22"/>
  <c r="O113" i="22"/>
  <c r="L113" i="22"/>
  <c r="H113" i="22"/>
  <c r="AL112" i="22"/>
  <c r="R112" i="22"/>
  <c r="O112" i="22"/>
  <c r="L112" i="22"/>
  <c r="H112" i="22"/>
  <c r="G112" i="22"/>
  <c r="AT112" i="22" s="1"/>
  <c r="AL111" i="22"/>
  <c r="R111" i="22"/>
  <c r="O111" i="22"/>
  <c r="L111" i="22"/>
  <c r="H111" i="22"/>
  <c r="G111" i="22"/>
  <c r="AT111" i="22" s="1"/>
  <c r="AN110" i="22"/>
  <c r="AL110" i="22"/>
  <c r="AK110" i="22"/>
  <c r="AI110" i="22"/>
  <c r="AF110" i="22"/>
  <c r="Z110" i="22"/>
  <c r="W110" i="22"/>
  <c r="R110" i="22"/>
  <c r="O110" i="22"/>
  <c r="L110" i="22"/>
  <c r="H110" i="22"/>
  <c r="AL109" i="22"/>
  <c r="R109" i="22"/>
  <c r="O109" i="22"/>
  <c r="L109" i="22"/>
  <c r="H109" i="22"/>
  <c r="G109" i="22"/>
  <c r="AK106" i="22"/>
  <c r="AE106" i="22"/>
  <c r="AB106" i="22"/>
  <c r="Q106" i="22"/>
  <c r="N106" i="22"/>
  <c r="K106" i="22"/>
  <c r="I106" i="22"/>
  <c r="H106" i="22"/>
  <c r="AF106" i="22" s="1"/>
  <c r="G106" i="22"/>
  <c r="AK105" i="22"/>
  <c r="AE105" i="22"/>
  <c r="AB105" i="22"/>
  <c r="Q105" i="22"/>
  <c r="N105" i="22"/>
  <c r="K105" i="22"/>
  <c r="I105" i="22"/>
  <c r="H105" i="22"/>
  <c r="AF105" i="22" s="1"/>
  <c r="AO105" i="22"/>
  <c r="AL104" i="22"/>
  <c r="AK104" i="22"/>
  <c r="AI104" i="22"/>
  <c r="AE104" i="22"/>
  <c r="Y104" i="22"/>
  <c r="W104" i="22"/>
  <c r="AB104" i="22" s="1"/>
  <c r="R104" i="22"/>
  <c r="Q104" i="22"/>
  <c r="O104" i="22"/>
  <c r="N104" i="22"/>
  <c r="L104" i="22"/>
  <c r="K104" i="22"/>
  <c r="H104" i="22"/>
  <c r="AL103" i="22"/>
  <c r="AK103" i="22"/>
  <c r="AI103" i="22"/>
  <c r="AE103" i="22"/>
  <c r="Y103" i="22"/>
  <c r="W103" i="22"/>
  <c r="AB103" i="22" s="1"/>
  <c r="R103" i="22"/>
  <c r="Q103" i="22"/>
  <c r="O103" i="22"/>
  <c r="N103" i="22"/>
  <c r="L103" i="22"/>
  <c r="K103" i="22"/>
  <c r="H103" i="22"/>
  <c r="AA103" i="22" s="1"/>
  <c r="AK102" i="22"/>
  <c r="Q102" i="22"/>
  <c r="N102" i="22"/>
  <c r="K102" i="22"/>
  <c r="H102" i="22"/>
  <c r="G102" i="22"/>
  <c r="AL101" i="22"/>
  <c r="AK101" i="22"/>
  <c r="AI101" i="22"/>
  <c r="AE101" i="22"/>
  <c r="Y101" i="22"/>
  <c r="W101" i="22"/>
  <c r="AB101" i="22" s="1"/>
  <c r="R101" i="22"/>
  <c r="Q101" i="22"/>
  <c r="O101" i="22"/>
  <c r="N101" i="22"/>
  <c r="L101" i="22"/>
  <c r="K101" i="22"/>
  <c r="H101" i="22"/>
  <c r="AL100" i="22"/>
  <c r="AK100" i="22"/>
  <c r="AI100" i="22"/>
  <c r="AE100" i="22"/>
  <c r="Y100" i="22"/>
  <c r="W100" i="22"/>
  <c r="R100" i="22"/>
  <c r="Q100" i="22"/>
  <c r="O100" i="22"/>
  <c r="N100" i="22"/>
  <c r="L100" i="22"/>
  <c r="K100" i="22"/>
  <c r="H100" i="22"/>
  <c r="AA100" i="22" s="1"/>
  <c r="AK99" i="22"/>
  <c r="Q99" i="22"/>
  <c r="N99" i="22"/>
  <c r="K99" i="22"/>
  <c r="H99" i="22"/>
  <c r="G99" i="22"/>
  <c r="AK98" i="22"/>
  <c r="Q98" i="22"/>
  <c r="N98" i="22"/>
  <c r="K98" i="22"/>
  <c r="H98" i="22"/>
  <c r="G98" i="22"/>
  <c r="AI97" i="22"/>
  <c r="AF97" i="22"/>
  <c r="Z97" i="22"/>
  <c r="W97" i="22"/>
  <c r="R97" i="22"/>
  <c r="O97" i="22"/>
  <c r="L97" i="22"/>
  <c r="H97" i="22"/>
  <c r="AL96" i="22"/>
  <c r="R96" i="22"/>
  <c r="O96" i="22"/>
  <c r="L96" i="22"/>
  <c r="H96" i="22"/>
  <c r="G96" i="22"/>
  <c r="AT96" i="22" s="1"/>
  <c r="AL95" i="22"/>
  <c r="R95" i="22"/>
  <c r="O95" i="22"/>
  <c r="L95" i="22"/>
  <c r="H95" i="22"/>
  <c r="G95" i="22"/>
  <c r="AT95" i="22" s="1"/>
  <c r="AL94" i="22"/>
  <c r="R94" i="22"/>
  <c r="O94" i="22"/>
  <c r="L94" i="22"/>
  <c r="H94" i="22"/>
  <c r="G94" i="22"/>
  <c r="AT94" i="22" s="1"/>
  <c r="AI93" i="22"/>
  <c r="AF93" i="22"/>
  <c r="Z93" i="22"/>
  <c r="W93" i="22"/>
  <c r="AB93" i="22" s="1"/>
  <c r="R93" i="22"/>
  <c r="O93" i="22"/>
  <c r="L93" i="22"/>
  <c r="H93" i="22"/>
  <c r="AL92" i="22"/>
  <c r="R92" i="22"/>
  <c r="O92" i="22"/>
  <c r="L92" i="22"/>
  <c r="H92" i="22"/>
  <c r="G92" i="22"/>
  <c r="AL91" i="22"/>
  <c r="R91" i="22"/>
  <c r="O91" i="22"/>
  <c r="L91" i="22"/>
  <c r="H91" i="22"/>
  <c r="G91" i="22"/>
  <c r="AT91" i="22" s="1"/>
  <c r="AL90" i="22"/>
  <c r="AK90" i="22"/>
  <c r="AI90" i="22"/>
  <c r="AE90" i="22"/>
  <c r="Y90" i="22"/>
  <c r="W90" i="22"/>
  <c r="AB90" i="22" s="1"/>
  <c r="R90" i="22"/>
  <c r="Q90" i="22"/>
  <c r="O90" i="22"/>
  <c r="N90" i="22"/>
  <c r="L90" i="22"/>
  <c r="K90" i="22"/>
  <c r="H90" i="22"/>
  <c r="AK89" i="22"/>
  <c r="Q89" i="22"/>
  <c r="N89" i="22"/>
  <c r="K89" i="22"/>
  <c r="H89" i="22"/>
  <c r="G89" i="22"/>
  <c r="AK86" i="22"/>
  <c r="AE86" i="22"/>
  <c r="AB86" i="22"/>
  <c r="Q86" i="22"/>
  <c r="N86" i="22"/>
  <c r="K86" i="22"/>
  <c r="I86" i="22"/>
  <c r="H86" i="22"/>
  <c r="AF86" i="22" s="1"/>
  <c r="G86" i="22"/>
  <c r="AK85" i="22"/>
  <c r="AE85" i="22"/>
  <c r="AB85" i="22"/>
  <c r="Q85" i="22"/>
  <c r="N85" i="22"/>
  <c r="K85" i="22"/>
  <c r="I85" i="22"/>
  <c r="H85" i="22"/>
  <c r="AF85" i="22" s="1"/>
  <c r="G85" i="22"/>
  <c r="AL84" i="22"/>
  <c r="AK84" i="22"/>
  <c r="AI84" i="22"/>
  <c r="AE84" i="22"/>
  <c r="Y84" i="22"/>
  <c r="W84" i="22"/>
  <c r="R84" i="22"/>
  <c r="Q84" i="22"/>
  <c r="O84" i="22"/>
  <c r="N84" i="22"/>
  <c r="L84" i="22"/>
  <c r="K84" i="22"/>
  <c r="H84" i="22"/>
  <c r="AA84" i="22" s="1"/>
  <c r="AL83" i="22"/>
  <c r="AK83" i="22"/>
  <c r="AI83" i="22"/>
  <c r="AE83" i="22"/>
  <c r="Y83" i="22"/>
  <c r="W83" i="22"/>
  <c r="R83" i="22"/>
  <c r="Q83" i="22"/>
  <c r="O83" i="22"/>
  <c r="N83" i="22"/>
  <c r="L83" i="22"/>
  <c r="K83" i="22"/>
  <c r="H83" i="22"/>
  <c r="AA83" i="22" s="1"/>
  <c r="AK82" i="22"/>
  <c r="Q82" i="22"/>
  <c r="N82" i="22"/>
  <c r="K82" i="22"/>
  <c r="H82" i="22"/>
  <c r="G82" i="22"/>
  <c r="AT82" i="22" s="1"/>
  <c r="AL81" i="22"/>
  <c r="AK81" i="22"/>
  <c r="AI81" i="22"/>
  <c r="AE81" i="22"/>
  <c r="Y81" i="22"/>
  <c r="W81" i="22"/>
  <c r="R81" i="22"/>
  <c r="Q81" i="22"/>
  <c r="O81" i="22"/>
  <c r="N81" i="22"/>
  <c r="L81" i="22"/>
  <c r="K81" i="22"/>
  <c r="H81" i="22"/>
  <c r="AL80" i="22"/>
  <c r="AK80" i="22"/>
  <c r="AI80" i="22"/>
  <c r="AE80" i="22"/>
  <c r="Y80" i="22"/>
  <c r="W80" i="22"/>
  <c r="AB80" i="22" s="1"/>
  <c r="R80" i="22"/>
  <c r="Q80" i="22"/>
  <c r="O80" i="22"/>
  <c r="N80" i="22"/>
  <c r="L80" i="22"/>
  <c r="K80" i="22"/>
  <c r="H80" i="22"/>
  <c r="AA80" i="22" s="1"/>
  <c r="AK79" i="22"/>
  <c r="Q79" i="22"/>
  <c r="N79" i="22"/>
  <c r="K79" i="22"/>
  <c r="H79" i="22"/>
  <c r="G79" i="22"/>
  <c r="AT79" i="22" s="1"/>
  <c r="AK78" i="22"/>
  <c r="Q78" i="22"/>
  <c r="N78" i="22"/>
  <c r="K78" i="22"/>
  <c r="H78" i="22"/>
  <c r="G78" i="22"/>
  <c r="AT78" i="22" s="1"/>
  <c r="AI77" i="22"/>
  <c r="AF77" i="22"/>
  <c r="Z77" i="22"/>
  <c r="W77" i="22"/>
  <c r="R77" i="22"/>
  <c r="O77" i="22"/>
  <c r="L77" i="22"/>
  <c r="H77" i="22"/>
  <c r="K77" i="22" s="1"/>
  <c r="AL76" i="22"/>
  <c r="R76" i="22"/>
  <c r="O76" i="22"/>
  <c r="L76" i="22"/>
  <c r="H76" i="22"/>
  <c r="AL75" i="22"/>
  <c r="R75" i="22"/>
  <c r="O75" i="22"/>
  <c r="L75" i="22"/>
  <c r="H75" i="22"/>
  <c r="G75" i="22"/>
  <c r="AK74" i="22"/>
  <c r="Q74" i="22"/>
  <c r="N74" i="22"/>
  <c r="K74" i="22"/>
  <c r="H74" i="22"/>
  <c r="G74" i="22"/>
  <c r="AI73" i="22"/>
  <c r="AF73" i="22"/>
  <c r="Z73" i="22"/>
  <c r="W73" i="22"/>
  <c r="R73" i="22"/>
  <c r="O73" i="22"/>
  <c r="L73" i="22"/>
  <c r="H73" i="22"/>
  <c r="K73" i="22" s="1"/>
  <c r="AL72" i="22"/>
  <c r="R72" i="22"/>
  <c r="O72" i="22"/>
  <c r="L72" i="22"/>
  <c r="H72" i="22"/>
  <c r="G72" i="22"/>
  <c r="AL71" i="22"/>
  <c r="R71" i="22"/>
  <c r="O71" i="22"/>
  <c r="L71" i="22"/>
  <c r="H71" i="22"/>
  <c r="G71" i="22"/>
  <c r="AT71" i="22" s="1"/>
  <c r="AL70" i="22"/>
  <c r="AK70" i="22"/>
  <c r="AI70" i="22"/>
  <c r="AE70" i="22"/>
  <c r="Y70" i="22"/>
  <c r="W70" i="22"/>
  <c r="R70" i="22"/>
  <c r="Q70" i="22"/>
  <c r="O70" i="22"/>
  <c r="N70" i="22"/>
  <c r="L70" i="22"/>
  <c r="K70" i="22"/>
  <c r="H70" i="22"/>
  <c r="AA70" i="22" s="1"/>
  <c r="AK69" i="22"/>
  <c r="Q69" i="22"/>
  <c r="N69" i="22"/>
  <c r="K69" i="22"/>
  <c r="H69" i="22"/>
  <c r="G69" i="22"/>
  <c r="AT69" i="22" s="1"/>
  <c r="AK66" i="22"/>
  <c r="AE66" i="22"/>
  <c r="AB66" i="22"/>
  <c r="Q66" i="22"/>
  <c r="N66" i="22"/>
  <c r="K66" i="22"/>
  <c r="I66" i="22"/>
  <c r="H66" i="22"/>
  <c r="AF66" i="22" s="1"/>
  <c r="G66" i="22"/>
  <c r="AK65" i="22"/>
  <c r="AE65" i="22"/>
  <c r="AB65" i="22"/>
  <c r="Q65" i="22"/>
  <c r="N65" i="22"/>
  <c r="K65" i="22"/>
  <c r="I65" i="22"/>
  <c r="H65" i="22"/>
  <c r="AF65" i="22" s="1"/>
  <c r="G65" i="22"/>
  <c r="AL64" i="22"/>
  <c r="AK64" i="22"/>
  <c r="AI64" i="22"/>
  <c r="AE64" i="22"/>
  <c r="Y64" i="22"/>
  <c r="W64" i="22"/>
  <c r="R64" i="22"/>
  <c r="Q64" i="22"/>
  <c r="O64" i="22"/>
  <c r="N64" i="22"/>
  <c r="L64" i="22"/>
  <c r="K64" i="22"/>
  <c r="H64" i="22"/>
  <c r="AA64" i="22" s="1"/>
  <c r="AL63" i="22"/>
  <c r="AK63" i="22"/>
  <c r="AI63" i="22"/>
  <c r="AE63" i="22"/>
  <c r="Y63" i="22"/>
  <c r="W63" i="22"/>
  <c r="R63" i="22"/>
  <c r="Q63" i="22"/>
  <c r="O63" i="22"/>
  <c r="N63" i="22"/>
  <c r="L63" i="22"/>
  <c r="K63" i="22"/>
  <c r="H63" i="22"/>
  <c r="AK62" i="22"/>
  <c r="Q62" i="22"/>
  <c r="N62" i="22"/>
  <c r="K62" i="22"/>
  <c r="H62" i="22"/>
  <c r="G62" i="22"/>
  <c r="AT62" i="22" s="1"/>
  <c r="AL61" i="22"/>
  <c r="AK61" i="22"/>
  <c r="AI61" i="22"/>
  <c r="AE61" i="22"/>
  <c r="Y61" i="22"/>
  <c r="W61" i="22"/>
  <c r="AB61" i="22" s="1"/>
  <c r="R61" i="22"/>
  <c r="Q61" i="22"/>
  <c r="O61" i="22"/>
  <c r="N61" i="22"/>
  <c r="L61" i="22"/>
  <c r="K61" i="22"/>
  <c r="H61" i="22"/>
  <c r="AA61" i="22" s="1"/>
  <c r="AL60" i="22"/>
  <c r="AK60" i="22"/>
  <c r="AI60" i="22"/>
  <c r="AE60" i="22"/>
  <c r="Y60" i="22"/>
  <c r="W60" i="22"/>
  <c r="AB60" i="22" s="1"/>
  <c r="R60" i="22"/>
  <c r="Q60" i="22"/>
  <c r="O60" i="22"/>
  <c r="N60" i="22"/>
  <c r="L60" i="22"/>
  <c r="K60" i="22"/>
  <c r="H60" i="22"/>
  <c r="AK59" i="22"/>
  <c r="Q59" i="22"/>
  <c r="N59" i="22"/>
  <c r="K59" i="22"/>
  <c r="H59" i="22"/>
  <c r="G59" i="22"/>
  <c r="AT59" i="22" s="1"/>
  <c r="AL58" i="22"/>
  <c r="R58" i="22"/>
  <c r="O58" i="22"/>
  <c r="L58" i="22"/>
  <c r="H58" i="22"/>
  <c r="G58" i="22"/>
  <c r="AL57" i="22"/>
  <c r="R57" i="22"/>
  <c r="O57" i="22"/>
  <c r="L57" i="22"/>
  <c r="J57" i="22"/>
  <c r="I57" i="22"/>
  <c r="H57" i="22"/>
  <c r="G57" i="22"/>
  <c r="AI56" i="22"/>
  <c r="AF56" i="22"/>
  <c r="Z56" i="22"/>
  <c r="W56" i="22"/>
  <c r="R56" i="22"/>
  <c r="O56" i="22"/>
  <c r="L56" i="22"/>
  <c r="H56" i="22"/>
  <c r="AL55" i="22"/>
  <c r="R55" i="22"/>
  <c r="O55" i="22"/>
  <c r="L55" i="22"/>
  <c r="J55" i="22"/>
  <c r="I55" i="22"/>
  <c r="H55" i="22"/>
  <c r="G55" i="22"/>
  <c r="AT55" i="22" s="1"/>
  <c r="AI54" i="22"/>
  <c r="AF54" i="22"/>
  <c r="Z54" i="22"/>
  <c r="W54" i="22"/>
  <c r="R54" i="22"/>
  <c r="O54" i="22"/>
  <c r="L54" i="22"/>
  <c r="H54" i="22"/>
  <c r="AL52" i="22"/>
  <c r="R52" i="22"/>
  <c r="O52" i="22"/>
  <c r="L52" i="22"/>
  <c r="J52" i="22"/>
  <c r="I52" i="22"/>
  <c r="H52" i="22"/>
  <c r="AL51" i="22"/>
  <c r="R51" i="22"/>
  <c r="O51" i="22"/>
  <c r="L51" i="22"/>
  <c r="J51" i="22"/>
  <c r="I51" i="22"/>
  <c r="H51" i="22"/>
  <c r="G51" i="22"/>
  <c r="AN50" i="22"/>
  <c r="AL50" i="22"/>
  <c r="AK50" i="22"/>
  <c r="AI50" i="22"/>
  <c r="AF50" i="22"/>
  <c r="Z50" i="22"/>
  <c r="W50" i="22"/>
  <c r="R50" i="22"/>
  <c r="O50" i="22"/>
  <c r="L50" i="22"/>
  <c r="H50" i="22"/>
  <c r="AL49" i="22"/>
  <c r="R49" i="22"/>
  <c r="O49" i="22"/>
  <c r="L49" i="22"/>
  <c r="J49" i="22"/>
  <c r="I49" i="22"/>
  <c r="H49" i="22"/>
  <c r="G49" i="22"/>
  <c r="AT49" i="22" s="1"/>
  <c r="AN46" i="22"/>
  <c r="AL46" i="22"/>
  <c r="AK46" i="22"/>
  <c r="AI46" i="22"/>
  <c r="AE46" i="22"/>
  <c r="Y46" i="22"/>
  <c r="W46" i="22"/>
  <c r="AB46" i="22" s="1"/>
  <c r="R46" i="22"/>
  <c r="Q46" i="22"/>
  <c r="O46" i="22"/>
  <c r="N46" i="22"/>
  <c r="L46" i="22"/>
  <c r="K46" i="22"/>
  <c r="H46" i="22"/>
  <c r="AK45" i="22"/>
  <c r="Q45" i="22"/>
  <c r="N45" i="22"/>
  <c r="K45" i="22"/>
  <c r="J45" i="22"/>
  <c r="I45" i="22"/>
  <c r="H45" i="22"/>
  <c r="G45" i="22"/>
  <c r="AK44" i="22"/>
  <c r="Q44" i="22"/>
  <c r="N44" i="22"/>
  <c r="K44" i="22"/>
  <c r="J44" i="22"/>
  <c r="I44" i="22"/>
  <c r="H44" i="22"/>
  <c r="G44" i="22"/>
  <c r="AL43" i="22"/>
  <c r="R43" i="22"/>
  <c r="O43" i="22"/>
  <c r="L43" i="22"/>
  <c r="J43" i="22"/>
  <c r="I43" i="22"/>
  <c r="H43" i="22"/>
  <c r="G43" i="22"/>
  <c r="AT43" i="22" s="1"/>
  <c r="AL42" i="22"/>
  <c r="R42" i="22"/>
  <c r="O42" i="22"/>
  <c r="L42" i="22"/>
  <c r="J42" i="22"/>
  <c r="I42" i="22"/>
  <c r="H42" i="22"/>
  <c r="G42" i="22"/>
  <c r="AT42" i="22" s="1"/>
  <c r="AK41" i="22"/>
  <c r="Q41" i="22"/>
  <c r="N41" i="22"/>
  <c r="K41" i="22"/>
  <c r="J41" i="22"/>
  <c r="I41" i="22"/>
  <c r="H41" i="22"/>
  <c r="G41" i="22"/>
  <c r="AT41" i="22" s="1"/>
  <c r="AL38" i="22"/>
  <c r="R38" i="22"/>
  <c r="O38" i="22"/>
  <c r="L38" i="22"/>
  <c r="J38" i="22"/>
  <c r="P38" i="22" s="1"/>
  <c r="H38" i="22"/>
  <c r="G38" i="22"/>
  <c r="AT38" i="22" s="1"/>
  <c r="AL37" i="22"/>
  <c r="AI37" i="22"/>
  <c r="AF37" i="22"/>
  <c r="Z37" i="22"/>
  <c r="W37" i="22"/>
  <c r="AB37" i="22" s="1"/>
  <c r="R37" i="22"/>
  <c r="O37" i="22"/>
  <c r="L37" i="22"/>
  <c r="H37" i="22"/>
  <c r="AL36" i="22"/>
  <c r="R36" i="22"/>
  <c r="O36" i="22"/>
  <c r="L36" i="22"/>
  <c r="J36" i="22"/>
  <c r="P36" i="22" s="1"/>
  <c r="H36" i="22"/>
  <c r="G36" i="22"/>
  <c r="AL35" i="22"/>
  <c r="R35" i="22"/>
  <c r="O35" i="22"/>
  <c r="L35" i="22"/>
  <c r="J35" i="22"/>
  <c r="P35" i="22" s="1"/>
  <c r="H35" i="22"/>
  <c r="G35" i="22"/>
  <c r="AT35" i="22" s="1"/>
  <c r="AN34" i="22"/>
  <c r="AL34" i="22"/>
  <c r="AK34" i="22"/>
  <c r="AI34" i="22"/>
  <c r="AF34" i="22"/>
  <c r="Z34" i="22"/>
  <c r="W34" i="22"/>
  <c r="R34" i="22"/>
  <c r="O34" i="22"/>
  <c r="L34" i="22"/>
  <c r="H34" i="22"/>
  <c r="AA34" i="22" s="1"/>
  <c r="AL33" i="22"/>
  <c r="R33" i="22"/>
  <c r="O33" i="22"/>
  <c r="L33" i="22"/>
  <c r="J33" i="22"/>
  <c r="P33" i="22" s="1"/>
  <c r="H33" i="22"/>
  <c r="AI33" i="22"/>
  <c r="AL30" i="22"/>
  <c r="R30" i="22"/>
  <c r="O30" i="22"/>
  <c r="L30" i="22"/>
  <c r="J30" i="22"/>
  <c r="P30" i="22" s="1"/>
  <c r="H30" i="22"/>
  <c r="G30" i="22"/>
  <c r="AT30" i="22" s="1"/>
  <c r="AL27" i="22"/>
  <c r="R27" i="22"/>
  <c r="O27" i="22"/>
  <c r="L27" i="22"/>
  <c r="H27" i="22"/>
  <c r="G27" i="22"/>
  <c r="AT27" i="22" s="1"/>
  <c r="AL26" i="22"/>
  <c r="R26" i="22"/>
  <c r="O26" i="22"/>
  <c r="L26" i="22"/>
  <c r="H26" i="22"/>
  <c r="G26" i="22"/>
  <c r="AT26" i="22" s="1"/>
  <c r="AL25" i="22"/>
  <c r="AK25" i="22"/>
  <c r="Z25" i="22"/>
  <c r="W25" i="22"/>
  <c r="AB25" i="22" s="1"/>
  <c r="R25" i="22"/>
  <c r="O25" i="22"/>
  <c r="L25" i="22"/>
  <c r="H25" i="22"/>
  <c r="N25" i="22" s="1"/>
  <c r="AN24" i="22"/>
  <c r="AL24" i="22"/>
  <c r="R24" i="22"/>
  <c r="O24" i="22"/>
  <c r="L24" i="22"/>
  <c r="H24" i="22"/>
  <c r="G24" i="22"/>
  <c r="AN23" i="22"/>
  <c r="AL23" i="22"/>
  <c r="AK23" i="22"/>
  <c r="AL21" i="22"/>
  <c r="R21" i="22"/>
  <c r="O21" i="22"/>
  <c r="L21" i="22"/>
  <c r="H21" i="22"/>
  <c r="G21" i="22"/>
  <c r="AT21" i="22" s="1"/>
  <c r="AL20" i="22"/>
  <c r="R20" i="22"/>
  <c r="O20" i="22"/>
  <c r="L20" i="22"/>
  <c r="H20" i="22"/>
  <c r="G20" i="22"/>
  <c r="AT20" i="22" s="1"/>
  <c r="AL19" i="22"/>
  <c r="AK19" i="22"/>
  <c r="Z19" i="22"/>
  <c r="W19" i="22"/>
  <c r="AB19" i="22" s="1"/>
  <c r="R19" i="22"/>
  <c r="O19" i="22"/>
  <c r="L19" i="22"/>
  <c r="H19" i="22"/>
  <c r="AA19" i="22" s="1"/>
  <c r="AN18" i="22"/>
  <c r="AL18" i="22"/>
  <c r="R18" i="22"/>
  <c r="O18" i="22"/>
  <c r="L18" i="22"/>
  <c r="H18" i="22"/>
  <c r="G18" i="22"/>
  <c r="AT18" i="22" s="1"/>
  <c r="AN17" i="22"/>
  <c r="AL17" i="22"/>
  <c r="AK17" i="22"/>
  <c r="AL15" i="22"/>
  <c r="R15" i="22"/>
  <c r="O15" i="22"/>
  <c r="L15" i="22"/>
  <c r="J15" i="22"/>
  <c r="P15" i="22" s="1"/>
  <c r="H15" i="22"/>
  <c r="G15" i="22"/>
  <c r="AT15" i="22" s="1"/>
  <c r="AL14" i="22"/>
  <c r="R14" i="22"/>
  <c r="O14" i="22"/>
  <c r="L14" i="22"/>
  <c r="J14" i="22"/>
  <c r="P14" i="22" s="1"/>
  <c r="H14" i="22"/>
  <c r="G14" i="22"/>
  <c r="AL11" i="22"/>
  <c r="AF11" i="22"/>
  <c r="Z11" i="22"/>
  <c r="R11" i="22"/>
  <c r="O11" i="22"/>
  <c r="L11" i="22"/>
  <c r="H11" i="22"/>
  <c r="G11" i="22"/>
  <c r="AF10" i="22"/>
  <c r="AB10" i="22"/>
  <c r="R10" i="22"/>
  <c r="O10" i="22"/>
  <c r="L10" i="22"/>
  <c r="H10" i="22"/>
  <c r="AE10" i="22" s="1"/>
  <c r="G10" i="22"/>
  <c r="AF9" i="22"/>
  <c r="AB9" i="22"/>
  <c r="R9" i="22"/>
  <c r="O9" i="22"/>
  <c r="L9" i="22"/>
  <c r="H9" i="22"/>
  <c r="AE9" i="22" s="1"/>
  <c r="G9" i="22"/>
  <c r="AT9" i="22" s="1"/>
  <c r="AN8" i="22"/>
  <c r="AL8" i="22"/>
  <c r="AI8" i="22"/>
  <c r="AF8" i="22"/>
  <c r="Z8" i="22"/>
  <c r="W8" i="22"/>
  <c r="AB8" i="22" s="1"/>
  <c r="R8" i="22"/>
  <c r="O8" i="22"/>
  <c r="L8" i="22"/>
  <c r="J8" i="22"/>
  <c r="H8" i="22"/>
  <c r="AA8" i="22" s="1"/>
  <c r="AL7" i="22"/>
  <c r="R7" i="22"/>
  <c r="O7" i="22"/>
  <c r="L7" i="22"/>
  <c r="J7" i="22"/>
  <c r="P7" i="22" s="1"/>
  <c r="H7" i="22"/>
  <c r="AI238" i="21"/>
  <c r="G231" i="21"/>
  <c r="L231" i="21" s="1"/>
  <c r="AI230" i="21"/>
  <c r="AF230" i="21"/>
  <c r="Z230" i="21"/>
  <c r="W230" i="21"/>
  <c r="R230" i="21"/>
  <c r="O230" i="21"/>
  <c r="L230" i="21"/>
  <c r="H230" i="21"/>
  <c r="N230" i="21" s="1"/>
  <c r="G229" i="21"/>
  <c r="AK214" i="21"/>
  <c r="AN201" i="20"/>
  <c r="AL201" i="20"/>
  <c r="R201" i="20"/>
  <c r="O201" i="20"/>
  <c r="L201" i="20"/>
  <c r="H201" i="20"/>
  <c r="G201" i="20"/>
  <c r="G209" i="21"/>
  <c r="AT209" i="21" s="1"/>
  <c r="AN209" i="21"/>
  <c r="AL209" i="21"/>
  <c r="R209" i="21"/>
  <c r="O209" i="21"/>
  <c r="L209" i="21"/>
  <c r="H209" i="21"/>
  <c r="G196" i="21"/>
  <c r="G188" i="20"/>
  <c r="G193" i="21"/>
  <c r="AT193" i="21" s="1"/>
  <c r="AM192" i="21"/>
  <c r="AL192" i="21"/>
  <c r="AF192" i="21"/>
  <c r="Z192" i="21"/>
  <c r="R192" i="21"/>
  <c r="O192" i="21"/>
  <c r="L192" i="21"/>
  <c r="H192" i="21"/>
  <c r="G191" i="21"/>
  <c r="AL272" i="21"/>
  <c r="AI272" i="21"/>
  <c r="AF272" i="21"/>
  <c r="Z272" i="21"/>
  <c r="W272" i="21"/>
  <c r="R272" i="21"/>
  <c r="O272" i="21"/>
  <c r="L272" i="21"/>
  <c r="H272" i="21"/>
  <c r="AN271" i="21"/>
  <c r="AL271" i="21"/>
  <c r="R271" i="21"/>
  <c r="O271" i="21"/>
  <c r="L271" i="21"/>
  <c r="H271" i="21"/>
  <c r="G271" i="21"/>
  <c r="AL270" i="21"/>
  <c r="AF270" i="21"/>
  <c r="Z270" i="21"/>
  <c r="R270" i="21"/>
  <c r="O270" i="21"/>
  <c r="L270" i="21"/>
  <c r="H270" i="21"/>
  <c r="W270" i="21"/>
  <c r="AN269" i="21"/>
  <c r="AL269" i="21"/>
  <c r="R269" i="21"/>
  <c r="O269" i="21"/>
  <c r="L269" i="21"/>
  <c r="H269" i="21"/>
  <c r="AL266" i="21"/>
  <c r="AF266" i="21"/>
  <c r="Z266" i="21"/>
  <c r="R266" i="21"/>
  <c r="O266" i="21"/>
  <c r="L266" i="21"/>
  <c r="H266" i="21"/>
  <c r="AN265" i="21"/>
  <c r="AL265" i="21"/>
  <c r="R265" i="21"/>
  <c r="O265" i="21"/>
  <c r="L265" i="21"/>
  <c r="H265" i="21"/>
  <c r="G265" i="21"/>
  <c r="AT265" i="21" s="1"/>
  <c r="AL264" i="21"/>
  <c r="AI264" i="21"/>
  <c r="AF264" i="21"/>
  <c r="Z264" i="21"/>
  <c r="W264" i="21"/>
  <c r="R264" i="21"/>
  <c r="O264" i="21"/>
  <c r="L264" i="21"/>
  <c r="H264" i="21"/>
  <c r="Q264" i="21" s="1"/>
  <c r="AN263" i="21"/>
  <c r="AL263" i="21"/>
  <c r="R263" i="21"/>
  <c r="O263" i="21"/>
  <c r="L263" i="21"/>
  <c r="H263" i="21"/>
  <c r="G263" i="21"/>
  <c r="AN260" i="21"/>
  <c r="AL260" i="21"/>
  <c r="R260" i="21"/>
  <c r="O260" i="21"/>
  <c r="L260" i="21"/>
  <c r="H260" i="21"/>
  <c r="G260" i="21"/>
  <c r="AT260" i="21" s="1"/>
  <c r="AM259" i="21"/>
  <c r="AL259" i="21"/>
  <c r="AF259" i="21"/>
  <c r="Z259" i="21"/>
  <c r="R259" i="21"/>
  <c r="O259" i="21"/>
  <c r="L259" i="21"/>
  <c r="H259" i="21"/>
  <c r="AN257" i="21"/>
  <c r="AL257" i="21"/>
  <c r="R257" i="21"/>
  <c r="O257" i="21"/>
  <c r="L257" i="21"/>
  <c r="H257" i="21"/>
  <c r="AL256" i="21"/>
  <c r="AI256" i="21"/>
  <c r="AF256" i="21"/>
  <c r="Z256" i="21"/>
  <c r="W256" i="21"/>
  <c r="AB256" i="21" s="1"/>
  <c r="R256" i="21"/>
  <c r="O256" i="21"/>
  <c r="L256" i="21"/>
  <c r="H256" i="21"/>
  <c r="AN255" i="21"/>
  <c r="AL255" i="21"/>
  <c r="R255" i="21"/>
  <c r="O255" i="21"/>
  <c r="L255" i="21"/>
  <c r="H255" i="21"/>
  <c r="AK255" i="21"/>
  <c r="AL252" i="21"/>
  <c r="R252" i="21"/>
  <c r="O252" i="21"/>
  <c r="L252" i="21"/>
  <c r="H252" i="21"/>
  <c r="G252" i="21"/>
  <c r="AL251" i="21"/>
  <c r="R251" i="21"/>
  <c r="O251" i="21"/>
  <c r="L251" i="21"/>
  <c r="H251" i="21"/>
  <c r="AL250" i="21"/>
  <c r="AK250" i="21"/>
  <c r="Z250" i="21"/>
  <c r="W250" i="21"/>
  <c r="AB250" i="21" s="1"/>
  <c r="R250" i="21"/>
  <c r="O250" i="21"/>
  <c r="L250" i="21"/>
  <c r="H250" i="21"/>
  <c r="K250" i="21" s="1"/>
  <c r="AN249" i="21"/>
  <c r="AL249" i="21"/>
  <c r="R249" i="21"/>
  <c r="O249" i="21"/>
  <c r="L249" i="21"/>
  <c r="H249" i="21"/>
  <c r="G249" i="21"/>
  <c r="AP248" i="21"/>
  <c r="AN248" i="21"/>
  <c r="AL248" i="21"/>
  <c r="AK248" i="21"/>
  <c r="AL246" i="21"/>
  <c r="R246" i="21"/>
  <c r="O246" i="21"/>
  <c r="L246" i="21"/>
  <c r="H246" i="21"/>
  <c r="G246" i="21"/>
  <c r="AL245" i="21"/>
  <c r="R245" i="21"/>
  <c r="O245" i="21"/>
  <c r="L245" i="21"/>
  <c r="H245" i="21"/>
  <c r="AK245" i="21"/>
  <c r="AL244" i="21"/>
  <c r="AK244" i="21"/>
  <c r="Z244" i="21"/>
  <c r="W244" i="21"/>
  <c r="AB244" i="21" s="1"/>
  <c r="R244" i="21"/>
  <c r="O244" i="21"/>
  <c r="L244" i="21"/>
  <c r="H244" i="21"/>
  <c r="Q244" i="21" s="1"/>
  <c r="AN243" i="21"/>
  <c r="AL243" i="21"/>
  <c r="R243" i="21"/>
  <c r="O243" i="21"/>
  <c r="L243" i="21"/>
  <c r="H243" i="21"/>
  <c r="G243" i="21"/>
  <c r="AN242" i="21"/>
  <c r="AL242" i="21"/>
  <c r="AK242" i="21"/>
  <c r="AN240" i="21"/>
  <c r="AL240" i="21"/>
  <c r="R240" i="21"/>
  <c r="O240" i="21"/>
  <c r="L240" i="21"/>
  <c r="H240" i="21"/>
  <c r="AL239" i="21"/>
  <c r="AI239" i="21"/>
  <c r="AF239" i="21"/>
  <c r="Z239" i="21"/>
  <c r="W239" i="21"/>
  <c r="R239" i="21"/>
  <c r="O239" i="21"/>
  <c r="L239" i="21"/>
  <c r="H239" i="21"/>
  <c r="Q239" i="21" s="1"/>
  <c r="AN238" i="21"/>
  <c r="AL238" i="21"/>
  <c r="AK238" i="21"/>
  <c r="R238" i="21"/>
  <c r="O238" i="21"/>
  <c r="L238" i="21"/>
  <c r="H238" i="21"/>
  <c r="AN237" i="21"/>
  <c r="AL237" i="21"/>
  <c r="R237" i="21"/>
  <c r="O237" i="21"/>
  <c r="L237" i="21"/>
  <c r="H237" i="21"/>
  <c r="AN234" i="21"/>
  <c r="AL234" i="21"/>
  <c r="R234" i="21"/>
  <c r="O234" i="21"/>
  <c r="L234" i="21"/>
  <c r="H234" i="21"/>
  <c r="G234" i="21"/>
  <c r="AT234" i="21" s="1"/>
  <c r="AL233" i="21"/>
  <c r="AK233" i="21"/>
  <c r="AI233" i="21"/>
  <c r="AE233" i="21"/>
  <c r="Y233" i="21"/>
  <c r="W233" i="21"/>
  <c r="R233" i="21"/>
  <c r="Q233" i="21"/>
  <c r="O233" i="21"/>
  <c r="N233" i="21"/>
  <c r="L233" i="21"/>
  <c r="K233" i="21"/>
  <c r="H233" i="21"/>
  <c r="AA233" i="21" s="1"/>
  <c r="AL232" i="21"/>
  <c r="AK232" i="21"/>
  <c r="AI232" i="21"/>
  <c r="AE232" i="21"/>
  <c r="Y232" i="21"/>
  <c r="W232" i="21"/>
  <c r="AB232" i="21" s="1"/>
  <c r="R232" i="21"/>
  <c r="Q232" i="21"/>
  <c r="O232" i="21"/>
  <c r="N232" i="21"/>
  <c r="L232" i="21"/>
  <c r="K232" i="21"/>
  <c r="H232" i="21"/>
  <c r="AA232" i="21" s="1"/>
  <c r="AK231" i="21"/>
  <c r="Q231" i="21"/>
  <c r="N231" i="21"/>
  <c r="K231" i="21"/>
  <c r="H231" i="21"/>
  <c r="AN229" i="21"/>
  <c r="H229" i="21"/>
  <c r="N229" i="21" s="1"/>
  <c r="AL228" i="21"/>
  <c r="AK228" i="21"/>
  <c r="AI228" i="21"/>
  <c r="AE228" i="21"/>
  <c r="Y228" i="21"/>
  <c r="W228" i="21"/>
  <c r="R228" i="21"/>
  <c r="Q228" i="21"/>
  <c r="O228" i="21"/>
  <c r="N228" i="21"/>
  <c r="L228" i="21"/>
  <c r="K228" i="21"/>
  <c r="H228" i="21"/>
  <c r="AA228" i="21" s="1"/>
  <c r="AK227" i="21"/>
  <c r="Q227" i="21"/>
  <c r="N227" i="21"/>
  <c r="K227" i="21"/>
  <c r="H227" i="21"/>
  <c r="G227" i="21"/>
  <c r="AK224" i="21"/>
  <c r="AE224" i="21"/>
  <c r="AB224" i="21"/>
  <c r="Q224" i="21"/>
  <c r="N224" i="21"/>
  <c r="K224" i="21"/>
  <c r="I224" i="21"/>
  <c r="H224" i="21"/>
  <c r="AF224" i="21" s="1"/>
  <c r="G224" i="21"/>
  <c r="AL223" i="21"/>
  <c r="AK223" i="21"/>
  <c r="AI223" i="21"/>
  <c r="AE223" i="21"/>
  <c r="Y223" i="21"/>
  <c r="W223" i="21"/>
  <c r="AB223" i="21" s="1"/>
  <c r="R223" i="21"/>
  <c r="Q223" i="21"/>
  <c r="O223" i="21"/>
  <c r="N223" i="21"/>
  <c r="L223" i="21"/>
  <c r="K223" i="21"/>
  <c r="H223" i="21"/>
  <c r="AA223" i="21" s="1"/>
  <c r="AL222" i="21"/>
  <c r="AK222" i="21"/>
  <c r="AI222" i="21"/>
  <c r="AE222" i="21"/>
  <c r="Y222" i="21"/>
  <c r="W222" i="21"/>
  <c r="R222" i="21"/>
  <c r="Q222" i="21"/>
  <c r="O222" i="21"/>
  <c r="N222" i="21"/>
  <c r="L222" i="21"/>
  <c r="K222" i="21"/>
  <c r="H222" i="21"/>
  <c r="AK221" i="21"/>
  <c r="Q221" i="21"/>
  <c r="N221" i="21"/>
  <c r="K221" i="21"/>
  <c r="H221" i="21"/>
  <c r="G221" i="21"/>
  <c r="AT221" i="21" s="1"/>
  <c r="AN220" i="21"/>
  <c r="AL220" i="21"/>
  <c r="AK220" i="21"/>
  <c r="AI220" i="21"/>
  <c r="AF220" i="21"/>
  <c r="Z220" i="21"/>
  <c r="W220" i="21"/>
  <c r="R220" i="21"/>
  <c r="O220" i="21"/>
  <c r="L220" i="21"/>
  <c r="H220" i="21"/>
  <c r="Q220" i="21" s="1"/>
  <c r="AN219" i="21"/>
  <c r="AL219" i="21"/>
  <c r="R219" i="21"/>
  <c r="O219" i="21"/>
  <c r="L219" i="21"/>
  <c r="H219" i="21"/>
  <c r="G219" i="21"/>
  <c r="AI218" i="21"/>
  <c r="AF218" i="21"/>
  <c r="Z218" i="21"/>
  <c r="W218" i="21"/>
  <c r="R218" i="21"/>
  <c r="O218" i="21"/>
  <c r="L218" i="21"/>
  <c r="H218" i="21"/>
  <c r="Q218" i="21" s="1"/>
  <c r="AN217" i="21"/>
  <c r="AL217" i="21"/>
  <c r="R217" i="21"/>
  <c r="O217" i="21"/>
  <c r="L217" i="21"/>
  <c r="H217" i="21"/>
  <c r="G217" i="21"/>
  <c r="AI215" i="21"/>
  <c r="AF215" i="21"/>
  <c r="Z215" i="21"/>
  <c r="W215" i="21"/>
  <c r="O215" i="21"/>
  <c r="L215" i="21"/>
  <c r="H215" i="21"/>
  <c r="AN214" i="21"/>
  <c r="AL214" i="21"/>
  <c r="R214" i="21"/>
  <c r="O214" i="21"/>
  <c r="L214" i="21"/>
  <c r="H214" i="21"/>
  <c r="AI213" i="21"/>
  <c r="AF213" i="21"/>
  <c r="Z213" i="21"/>
  <c r="W213" i="21"/>
  <c r="AB213" i="21" s="1"/>
  <c r="R213" i="21"/>
  <c r="O213" i="21"/>
  <c r="L213" i="21"/>
  <c r="H213" i="21"/>
  <c r="AN212" i="21"/>
  <c r="AL212" i="21"/>
  <c r="R212" i="21"/>
  <c r="O212" i="21"/>
  <c r="L212" i="21"/>
  <c r="H212" i="21"/>
  <c r="G212" i="21"/>
  <c r="AT212" i="21" s="1"/>
  <c r="AN208" i="21"/>
  <c r="AL208" i="21"/>
  <c r="R208" i="21"/>
  <c r="O208" i="21"/>
  <c r="L208" i="21"/>
  <c r="H208" i="21"/>
  <c r="G208" i="21"/>
  <c r="AT208" i="21" s="1"/>
  <c r="AN207" i="21"/>
  <c r="AL207" i="21"/>
  <c r="AK207" i="21"/>
  <c r="AI207" i="21"/>
  <c r="AF207" i="21"/>
  <c r="Z207" i="21"/>
  <c r="W207" i="21"/>
  <c r="R207" i="21"/>
  <c r="O207" i="21"/>
  <c r="L207" i="21"/>
  <c r="H207" i="21"/>
  <c r="Q207" i="21" s="1"/>
  <c r="AN206" i="21"/>
  <c r="AL206" i="21"/>
  <c r="R206" i="21"/>
  <c r="O206" i="21"/>
  <c r="L206" i="21"/>
  <c r="H206" i="21"/>
  <c r="G206" i="21"/>
  <c r="AN205" i="21"/>
  <c r="AL205" i="21"/>
  <c r="R205" i="21"/>
  <c r="O205" i="21"/>
  <c r="L205" i="21"/>
  <c r="H205" i="21"/>
  <c r="G205" i="21"/>
  <c r="AT205" i="21" s="1"/>
  <c r="AM201" i="21"/>
  <c r="AL201" i="21"/>
  <c r="AF201" i="21"/>
  <c r="Z201" i="21"/>
  <c r="R201" i="21"/>
  <c r="O201" i="21"/>
  <c r="L201" i="21"/>
  <c r="H201" i="21"/>
  <c r="AN200" i="21"/>
  <c r="AL200" i="21"/>
  <c r="R200" i="21"/>
  <c r="O200" i="21"/>
  <c r="L200" i="21"/>
  <c r="H200" i="21"/>
  <c r="AK200" i="21"/>
  <c r="AL199" i="21"/>
  <c r="AI199" i="21"/>
  <c r="AF199" i="21"/>
  <c r="Z199" i="21"/>
  <c r="W199" i="21"/>
  <c r="AB199" i="21" s="1"/>
  <c r="R199" i="21"/>
  <c r="O199" i="21"/>
  <c r="L199" i="21"/>
  <c r="H199" i="21"/>
  <c r="AA199" i="21" s="1"/>
  <c r="AN198" i="21"/>
  <c r="AL198" i="21"/>
  <c r="R198" i="21"/>
  <c r="O198" i="21"/>
  <c r="L198" i="21"/>
  <c r="H198" i="21"/>
  <c r="AK198" i="21"/>
  <c r="AL197" i="21"/>
  <c r="AI197" i="21"/>
  <c r="AF197" i="21"/>
  <c r="Z197" i="21"/>
  <c r="W197" i="21"/>
  <c r="R197" i="21"/>
  <c r="O197" i="21"/>
  <c r="L197" i="21"/>
  <c r="H197" i="21"/>
  <c r="AA197" i="21" s="1"/>
  <c r="AN196" i="21"/>
  <c r="AL196" i="21"/>
  <c r="R196" i="21"/>
  <c r="O196" i="21"/>
  <c r="L196" i="21"/>
  <c r="H196" i="21"/>
  <c r="AN193" i="21"/>
  <c r="AL193" i="21"/>
  <c r="R193" i="21"/>
  <c r="O193" i="21"/>
  <c r="L193" i="21"/>
  <c r="H193" i="21"/>
  <c r="AN191" i="21"/>
  <c r="AL191" i="21"/>
  <c r="R191" i="21"/>
  <c r="O191" i="21"/>
  <c r="L191" i="21"/>
  <c r="H191" i="21"/>
  <c r="AL190" i="21"/>
  <c r="AI190" i="21"/>
  <c r="AF190" i="21"/>
  <c r="Z190" i="21"/>
  <c r="W190" i="21"/>
  <c r="AB190" i="21" s="1"/>
  <c r="R190" i="21"/>
  <c r="O190" i="21"/>
  <c r="L190" i="21"/>
  <c r="H190" i="21"/>
  <c r="Q190" i="21" s="1"/>
  <c r="AN189" i="21"/>
  <c r="AL189" i="21"/>
  <c r="R189" i="21"/>
  <c r="O189" i="21"/>
  <c r="L189" i="21"/>
  <c r="H189" i="21"/>
  <c r="G189" i="21"/>
  <c r="AT189" i="21" s="1"/>
  <c r="G185" i="21"/>
  <c r="AT185" i="21" s="1"/>
  <c r="G177" i="21"/>
  <c r="G166" i="20"/>
  <c r="G174" i="21"/>
  <c r="AT174" i="21" s="1"/>
  <c r="AL186" i="21"/>
  <c r="AF186" i="21"/>
  <c r="Z186" i="21"/>
  <c r="R186" i="21"/>
  <c r="O186" i="21"/>
  <c r="L186" i="21"/>
  <c r="H186" i="21"/>
  <c r="AN185" i="21"/>
  <c r="AL185" i="21"/>
  <c r="R185" i="21"/>
  <c r="O185" i="21"/>
  <c r="L185" i="21"/>
  <c r="H185" i="21"/>
  <c r="AN184" i="21"/>
  <c r="AL184" i="21"/>
  <c r="R184" i="21"/>
  <c r="O184" i="21"/>
  <c r="L184" i="21"/>
  <c r="H184" i="21"/>
  <c r="G184" i="21"/>
  <c r="AL183" i="21"/>
  <c r="AI183" i="21"/>
  <c r="AF183" i="21"/>
  <c r="Z183" i="21"/>
  <c r="W183" i="21"/>
  <c r="R183" i="21"/>
  <c r="O183" i="21"/>
  <c r="L183" i="21"/>
  <c r="H183" i="21"/>
  <c r="Q183" i="21" s="1"/>
  <c r="AN182" i="21"/>
  <c r="AL182" i="21"/>
  <c r="R182" i="21"/>
  <c r="O182" i="21"/>
  <c r="L182" i="21"/>
  <c r="H182" i="21"/>
  <c r="G182" i="21"/>
  <c r="AN179" i="21"/>
  <c r="AL179" i="21"/>
  <c r="R179" i="21"/>
  <c r="O179" i="21"/>
  <c r="L179" i="21"/>
  <c r="H179" i="21"/>
  <c r="G179" i="21"/>
  <c r="AT179" i="21" s="1"/>
  <c r="AL178" i="21"/>
  <c r="AF178" i="21"/>
  <c r="Z178" i="21"/>
  <c r="R178" i="21"/>
  <c r="O178" i="21"/>
  <c r="L178" i="21"/>
  <c r="H178" i="21"/>
  <c r="W178" i="21"/>
  <c r="AN177" i="21"/>
  <c r="AL177" i="21"/>
  <c r="R177" i="21"/>
  <c r="O177" i="21"/>
  <c r="L177" i="21"/>
  <c r="H177" i="21"/>
  <c r="AN176" i="21"/>
  <c r="AL176" i="21"/>
  <c r="R176" i="21"/>
  <c r="O176" i="21"/>
  <c r="L176" i="21"/>
  <c r="H176" i="21"/>
  <c r="G176" i="21"/>
  <c r="AT176" i="21" s="1"/>
  <c r="AL175" i="21"/>
  <c r="AI175" i="21"/>
  <c r="AF175" i="21"/>
  <c r="Z175" i="21"/>
  <c r="W175" i="21"/>
  <c r="R175" i="21"/>
  <c r="O175" i="21"/>
  <c r="L175" i="21"/>
  <c r="H175" i="21"/>
  <c r="AN174" i="21"/>
  <c r="AL174" i="21"/>
  <c r="R174" i="21"/>
  <c r="O174" i="21"/>
  <c r="L174" i="21"/>
  <c r="H174" i="21"/>
  <c r="AK170" i="21"/>
  <c r="G164" i="21"/>
  <c r="AT164" i="21" s="1"/>
  <c r="AN170" i="21"/>
  <c r="AL170" i="21"/>
  <c r="R170" i="21"/>
  <c r="O170" i="21"/>
  <c r="L170" i="21"/>
  <c r="H170" i="21"/>
  <c r="AL169" i="21"/>
  <c r="AI169" i="21"/>
  <c r="AF169" i="21"/>
  <c r="Z169" i="21"/>
  <c r="W169" i="21"/>
  <c r="R169" i="21"/>
  <c r="O169" i="21"/>
  <c r="L169" i="21"/>
  <c r="H169" i="21"/>
  <c r="N169" i="21" s="1"/>
  <c r="AN168" i="21"/>
  <c r="AL168" i="21"/>
  <c r="R168" i="21"/>
  <c r="O168" i="21"/>
  <c r="L168" i="21"/>
  <c r="H168" i="21"/>
  <c r="AI168" i="21"/>
  <c r="AN167" i="21"/>
  <c r="AL167" i="21"/>
  <c r="R167" i="21"/>
  <c r="O167" i="21"/>
  <c r="L167" i="21"/>
  <c r="H167" i="21"/>
  <c r="G167" i="21"/>
  <c r="AL166" i="21"/>
  <c r="AI166" i="21"/>
  <c r="AF166" i="21"/>
  <c r="Z166" i="21"/>
  <c r="W166" i="21"/>
  <c r="R166" i="21"/>
  <c r="O166" i="21"/>
  <c r="L166" i="21"/>
  <c r="H166" i="21"/>
  <c r="Q166" i="21" s="1"/>
  <c r="AL165" i="21"/>
  <c r="Z165" i="21"/>
  <c r="R165" i="21"/>
  <c r="O165" i="21"/>
  <c r="L165" i="21"/>
  <c r="H165" i="21"/>
  <c r="AK165" i="21"/>
  <c r="AN164" i="21"/>
  <c r="AL164" i="21"/>
  <c r="R164" i="21"/>
  <c r="O164" i="21"/>
  <c r="L164" i="21"/>
  <c r="H164" i="21"/>
  <c r="G142" i="21"/>
  <c r="AT142" i="21" s="1"/>
  <c r="G138" i="21"/>
  <c r="AT138" i="21" s="1"/>
  <c r="G136" i="21"/>
  <c r="AL161" i="21"/>
  <c r="R161" i="21"/>
  <c r="O161" i="21"/>
  <c r="L161" i="21"/>
  <c r="H161" i="21"/>
  <c r="G161" i="21"/>
  <c r="AT161" i="21" s="1"/>
  <c r="AL160" i="21"/>
  <c r="R160" i="21"/>
  <c r="O160" i="21"/>
  <c r="L160" i="21"/>
  <c r="H160" i="21"/>
  <c r="G160" i="21"/>
  <c r="AL159" i="21"/>
  <c r="AK159" i="21"/>
  <c r="Z159" i="21"/>
  <c r="W159" i="21"/>
  <c r="AB159" i="21" s="1"/>
  <c r="R159" i="21"/>
  <c r="O159" i="21"/>
  <c r="L159" i="21"/>
  <c r="H159" i="21"/>
  <c r="AN158" i="21"/>
  <c r="AL158" i="21"/>
  <c r="R158" i="21"/>
  <c r="O158" i="21"/>
  <c r="L158" i="21"/>
  <c r="H158" i="21"/>
  <c r="G158" i="21"/>
  <c r="AT158" i="21" s="1"/>
  <c r="AP157" i="21"/>
  <c r="AN157" i="21"/>
  <c r="AL157" i="21"/>
  <c r="AK157" i="21"/>
  <c r="AL156" i="21"/>
  <c r="AK156" i="21"/>
  <c r="AL155" i="21"/>
  <c r="R155" i="21"/>
  <c r="O155" i="21"/>
  <c r="L155" i="21"/>
  <c r="H155" i="21"/>
  <c r="G155" i="21"/>
  <c r="AL154" i="21"/>
  <c r="R154" i="21"/>
  <c r="O154" i="21"/>
  <c r="L154" i="21"/>
  <c r="H154" i="21"/>
  <c r="G154" i="21"/>
  <c r="AT154" i="21" s="1"/>
  <c r="AL153" i="21"/>
  <c r="AK153" i="21"/>
  <c r="Z153" i="21"/>
  <c r="W153" i="21"/>
  <c r="AB153" i="21" s="1"/>
  <c r="R153" i="21"/>
  <c r="O153" i="21"/>
  <c r="L153" i="21"/>
  <c r="H153" i="21"/>
  <c r="Q153" i="21" s="1"/>
  <c r="AN152" i="21"/>
  <c r="AL152" i="21"/>
  <c r="R152" i="21"/>
  <c r="O152" i="21"/>
  <c r="L152" i="21"/>
  <c r="H152" i="21"/>
  <c r="G152" i="21"/>
  <c r="AN151" i="21"/>
  <c r="AL151" i="21"/>
  <c r="AK151" i="21"/>
  <c r="AL150" i="21"/>
  <c r="AK150" i="21"/>
  <c r="AL149" i="21"/>
  <c r="R149" i="21"/>
  <c r="O149" i="21"/>
  <c r="L149" i="21"/>
  <c r="H149" i="21"/>
  <c r="AL148" i="21"/>
  <c r="R148" i="21"/>
  <c r="O148" i="21"/>
  <c r="L148" i="21"/>
  <c r="H148" i="21"/>
  <c r="G148" i="21"/>
  <c r="AL147" i="21"/>
  <c r="AK147" i="21"/>
  <c r="AL146" i="21"/>
  <c r="AK146" i="21"/>
  <c r="AL144" i="21"/>
  <c r="R144" i="21"/>
  <c r="O144" i="21"/>
  <c r="L144" i="21"/>
  <c r="H144" i="21"/>
  <c r="AL143" i="21"/>
  <c r="R143" i="21"/>
  <c r="O143" i="21"/>
  <c r="L143" i="21"/>
  <c r="H143" i="21"/>
  <c r="AL142" i="21"/>
  <c r="R142" i="21"/>
  <c r="O142" i="21"/>
  <c r="L142" i="21"/>
  <c r="H142" i="21"/>
  <c r="AL141" i="21"/>
  <c r="AK141" i="21"/>
  <c r="AL140" i="21"/>
  <c r="AK140" i="21"/>
  <c r="AM139" i="21"/>
  <c r="AL139" i="21"/>
  <c r="AF139" i="21"/>
  <c r="Z139" i="21"/>
  <c r="R139" i="21"/>
  <c r="O139" i="21"/>
  <c r="L139" i="21"/>
  <c r="H139" i="21"/>
  <c r="W139" i="21"/>
  <c r="AL138" i="21"/>
  <c r="R138" i="21"/>
  <c r="O138" i="21"/>
  <c r="L138" i="21"/>
  <c r="H138" i="21"/>
  <c r="AM137" i="21"/>
  <c r="AL137" i="21"/>
  <c r="AF137" i="21"/>
  <c r="Z137" i="21"/>
  <c r="R137" i="21"/>
  <c r="O137" i="21"/>
  <c r="L137" i="21"/>
  <c r="H137" i="21"/>
  <c r="AK137" i="21"/>
  <c r="AL136" i="21"/>
  <c r="R136" i="21"/>
  <c r="O136" i="21"/>
  <c r="L136" i="21"/>
  <c r="H136" i="21"/>
  <c r="AL135" i="21"/>
  <c r="R135" i="21"/>
  <c r="O135" i="21"/>
  <c r="L135" i="21"/>
  <c r="H135" i="21"/>
  <c r="G135" i="21"/>
  <c r="AN134" i="21"/>
  <c r="AL134" i="21"/>
  <c r="AK134" i="21"/>
  <c r="AL132" i="21"/>
  <c r="R132" i="21"/>
  <c r="O132" i="21"/>
  <c r="L132" i="21"/>
  <c r="H132" i="21"/>
  <c r="G132" i="21"/>
  <c r="AT132" i="21" s="1"/>
  <c r="AN128" i="21"/>
  <c r="AL128" i="21"/>
  <c r="AK128" i="21"/>
  <c r="AI128" i="21"/>
  <c r="AF128" i="21"/>
  <c r="Z128" i="21"/>
  <c r="W128" i="21"/>
  <c r="R128" i="21"/>
  <c r="O128" i="21"/>
  <c r="L128" i="21"/>
  <c r="H128" i="21"/>
  <c r="Q128" i="21" s="1"/>
  <c r="G124" i="21"/>
  <c r="AL127" i="21"/>
  <c r="R127" i="21"/>
  <c r="O127" i="21"/>
  <c r="L127" i="21"/>
  <c r="H127" i="21"/>
  <c r="AL126" i="21"/>
  <c r="R126" i="21"/>
  <c r="O126" i="21"/>
  <c r="L126" i="21"/>
  <c r="H126" i="21"/>
  <c r="AL125" i="21"/>
  <c r="AK125" i="21"/>
  <c r="AI125" i="21"/>
  <c r="AF125" i="21"/>
  <c r="Z125" i="21"/>
  <c r="W125" i="21"/>
  <c r="R125" i="21"/>
  <c r="O125" i="21"/>
  <c r="L125" i="21"/>
  <c r="H125" i="21"/>
  <c r="AA125" i="21" s="1"/>
  <c r="AL124" i="21"/>
  <c r="R124" i="21"/>
  <c r="O124" i="21"/>
  <c r="L124" i="21"/>
  <c r="H124" i="21"/>
  <c r="AL121" i="21"/>
  <c r="R121" i="21"/>
  <c r="O121" i="21"/>
  <c r="L121" i="21"/>
  <c r="H121" i="21"/>
  <c r="AN117" i="21"/>
  <c r="AL117" i="21"/>
  <c r="AK117" i="21"/>
  <c r="AI117" i="21"/>
  <c r="AF117" i="21"/>
  <c r="Z117" i="21"/>
  <c r="W117" i="21"/>
  <c r="R117" i="21"/>
  <c r="O117" i="21"/>
  <c r="L117" i="21"/>
  <c r="H117" i="21"/>
  <c r="N117" i="21" s="1"/>
  <c r="G114" i="21"/>
  <c r="AT114" i="21" s="1"/>
  <c r="G112" i="21"/>
  <c r="AL115" i="21"/>
  <c r="R115" i="21"/>
  <c r="O115" i="21"/>
  <c r="L115" i="21"/>
  <c r="H115" i="21"/>
  <c r="G115" i="21"/>
  <c r="AL114" i="21"/>
  <c r="R114" i="21"/>
  <c r="O114" i="21"/>
  <c r="L114" i="21"/>
  <c r="H114" i="21"/>
  <c r="AN113" i="21"/>
  <c r="AL113" i="21"/>
  <c r="AK113" i="21"/>
  <c r="AI113" i="21"/>
  <c r="AF113" i="21"/>
  <c r="Z113" i="21"/>
  <c r="W113" i="21"/>
  <c r="R113" i="21"/>
  <c r="O113" i="21"/>
  <c r="L113" i="21"/>
  <c r="H113" i="21"/>
  <c r="Q113" i="21" s="1"/>
  <c r="AL112" i="21"/>
  <c r="R112" i="21"/>
  <c r="O112" i="21"/>
  <c r="L112" i="21"/>
  <c r="H112" i="21"/>
  <c r="G95" i="21"/>
  <c r="G94" i="21"/>
  <c r="AT94" i="21" s="1"/>
  <c r="AK109" i="21"/>
  <c r="AE109" i="21"/>
  <c r="AB109" i="21"/>
  <c r="Q109" i="21"/>
  <c r="N109" i="21"/>
  <c r="K109" i="21"/>
  <c r="H109" i="21"/>
  <c r="AF109" i="21" s="1"/>
  <c r="G109" i="21"/>
  <c r="AT109" i="21" s="1"/>
  <c r="AK108" i="21"/>
  <c r="AE108" i="21"/>
  <c r="AB108" i="21"/>
  <c r="Q108" i="21"/>
  <c r="N108" i="21"/>
  <c r="K108" i="21"/>
  <c r="H108" i="21"/>
  <c r="AF108" i="21" s="1"/>
  <c r="L108" i="21"/>
  <c r="AL107" i="21"/>
  <c r="AK107" i="21"/>
  <c r="AI107" i="21"/>
  <c r="AE107" i="21"/>
  <c r="Y107" i="21"/>
  <c r="W107" i="21"/>
  <c r="R107" i="21"/>
  <c r="Q107" i="21"/>
  <c r="O107" i="21"/>
  <c r="N107" i="21"/>
  <c r="L107" i="21"/>
  <c r="K107" i="21"/>
  <c r="H107" i="21"/>
  <c r="AA107" i="21" s="1"/>
  <c r="AL106" i="21"/>
  <c r="AK106" i="21"/>
  <c r="AI106" i="21"/>
  <c r="AE106" i="21"/>
  <c r="Y106" i="21"/>
  <c r="W106" i="21"/>
  <c r="AB106" i="21" s="1"/>
  <c r="R106" i="21"/>
  <c r="Q106" i="21"/>
  <c r="O106" i="21"/>
  <c r="N106" i="21"/>
  <c r="L106" i="21"/>
  <c r="K106" i="21"/>
  <c r="H106" i="21"/>
  <c r="AA106" i="21" s="1"/>
  <c r="AK105" i="21"/>
  <c r="Q105" i="21"/>
  <c r="N105" i="21"/>
  <c r="K105" i="21"/>
  <c r="H105" i="21"/>
  <c r="G105" i="21"/>
  <c r="AT105" i="21" s="1"/>
  <c r="AL104" i="21"/>
  <c r="AK104" i="21"/>
  <c r="AI104" i="21"/>
  <c r="AE104" i="21"/>
  <c r="Y104" i="21"/>
  <c r="W104" i="21"/>
  <c r="R104" i="21"/>
  <c r="Q104" i="21"/>
  <c r="O104" i="21"/>
  <c r="N104" i="21"/>
  <c r="L104" i="21"/>
  <c r="K104" i="21"/>
  <c r="H104" i="21"/>
  <c r="AA104" i="21" s="1"/>
  <c r="AL103" i="21"/>
  <c r="AK103" i="21"/>
  <c r="AI103" i="21"/>
  <c r="AE103" i="21"/>
  <c r="Y103" i="21"/>
  <c r="W103" i="21"/>
  <c r="R103" i="21"/>
  <c r="Q103" i="21"/>
  <c r="O103" i="21"/>
  <c r="N103" i="21"/>
  <c r="L103" i="21"/>
  <c r="K103" i="21"/>
  <c r="H103" i="21"/>
  <c r="AA103" i="21" s="1"/>
  <c r="AK102" i="21"/>
  <c r="Q102" i="21"/>
  <c r="N102" i="21"/>
  <c r="K102" i="21"/>
  <c r="H102" i="21"/>
  <c r="G102" i="21"/>
  <c r="AK101" i="21"/>
  <c r="Q101" i="21"/>
  <c r="N101" i="21"/>
  <c r="K101" i="21"/>
  <c r="H101" i="21"/>
  <c r="G101" i="21"/>
  <c r="AT101" i="21" s="1"/>
  <c r="AI100" i="21"/>
  <c r="AF100" i="21"/>
  <c r="Z100" i="21"/>
  <c r="W100" i="21"/>
  <c r="AB100" i="21" s="1"/>
  <c r="R100" i="21"/>
  <c r="O100" i="21"/>
  <c r="L100" i="21"/>
  <c r="H100" i="21"/>
  <c r="Q100" i="21" s="1"/>
  <c r="AL99" i="21"/>
  <c r="R99" i="21"/>
  <c r="O99" i="21"/>
  <c r="L99" i="21"/>
  <c r="H99" i="21"/>
  <c r="G99" i="21"/>
  <c r="AL98" i="21"/>
  <c r="R98" i="21"/>
  <c r="O98" i="21"/>
  <c r="L98" i="21"/>
  <c r="H98" i="21"/>
  <c r="G98" i="21"/>
  <c r="AL97" i="21"/>
  <c r="R97" i="21"/>
  <c r="O97" i="21"/>
  <c r="L97" i="21"/>
  <c r="H97" i="21"/>
  <c r="G97" i="21"/>
  <c r="AT97" i="21" s="1"/>
  <c r="AI96" i="21"/>
  <c r="AF96" i="21"/>
  <c r="Z96" i="21"/>
  <c r="W96" i="21"/>
  <c r="AB96" i="21" s="1"/>
  <c r="R96" i="21"/>
  <c r="O96" i="21"/>
  <c r="L96" i="21"/>
  <c r="H96" i="21"/>
  <c r="K96" i="21" s="1"/>
  <c r="AL95" i="21"/>
  <c r="R95" i="21"/>
  <c r="O95" i="21"/>
  <c r="L95" i="21"/>
  <c r="H95" i="21"/>
  <c r="AL94" i="21"/>
  <c r="R94" i="21"/>
  <c r="O94" i="21"/>
  <c r="L94" i="21"/>
  <c r="H94" i="21"/>
  <c r="AL93" i="21"/>
  <c r="AK93" i="21"/>
  <c r="AI93" i="21"/>
  <c r="AE93" i="21"/>
  <c r="Y93" i="21"/>
  <c r="W93" i="21"/>
  <c r="AB93" i="21" s="1"/>
  <c r="R93" i="21"/>
  <c r="Q93" i="21"/>
  <c r="O93" i="21"/>
  <c r="N93" i="21"/>
  <c r="L93" i="21"/>
  <c r="K93" i="21"/>
  <c r="H93" i="21"/>
  <c r="AK92" i="21"/>
  <c r="Q92" i="21"/>
  <c r="N92" i="21"/>
  <c r="K92" i="21"/>
  <c r="H92" i="21"/>
  <c r="G92" i="21"/>
  <c r="AT92" i="21" s="1"/>
  <c r="G77" i="20"/>
  <c r="G82" i="21"/>
  <c r="AI79" i="21"/>
  <c r="G78" i="21"/>
  <c r="G75" i="21"/>
  <c r="G72" i="21"/>
  <c r="AK89" i="21"/>
  <c r="AE89" i="21"/>
  <c r="AB89" i="21"/>
  <c r="Q89" i="21"/>
  <c r="N89" i="21"/>
  <c r="K89" i="21"/>
  <c r="H89" i="21"/>
  <c r="AF89" i="21" s="1"/>
  <c r="G89" i="21"/>
  <c r="AK88" i="21"/>
  <c r="AE88" i="21"/>
  <c r="AB88" i="21"/>
  <c r="Q88" i="21"/>
  <c r="N88" i="21"/>
  <c r="K88" i="21"/>
  <c r="H88" i="21"/>
  <c r="AF88" i="21" s="1"/>
  <c r="G88" i="21"/>
  <c r="AL87" i="21"/>
  <c r="AK87" i="21"/>
  <c r="AI87" i="21"/>
  <c r="AE87" i="21"/>
  <c r="Y87" i="21"/>
  <c r="W87" i="21"/>
  <c r="AB87" i="21" s="1"/>
  <c r="R87" i="21"/>
  <c r="Q87" i="21"/>
  <c r="O87" i="21"/>
  <c r="N87" i="21"/>
  <c r="L87" i="21"/>
  <c r="K87" i="21"/>
  <c r="H87" i="21"/>
  <c r="AL86" i="21"/>
  <c r="AK86" i="21"/>
  <c r="AI86" i="21"/>
  <c r="AE86" i="21"/>
  <c r="Y86" i="21"/>
  <c r="W86" i="21"/>
  <c r="AB86" i="21" s="1"/>
  <c r="R86" i="21"/>
  <c r="Q86" i="21"/>
  <c r="O86" i="21"/>
  <c r="N86" i="21"/>
  <c r="L86" i="21"/>
  <c r="K86" i="21"/>
  <c r="H86" i="21"/>
  <c r="AA86" i="21" s="1"/>
  <c r="AK85" i="21"/>
  <c r="Q85" i="21"/>
  <c r="N85" i="21"/>
  <c r="K85" i="21"/>
  <c r="H85" i="21"/>
  <c r="G85" i="21"/>
  <c r="AL84" i="21"/>
  <c r="AK84" i="21"/>
  <c r="AI84" i="21"/>
  <c r="AE84" i="21"/>
  <c r="Y84" i="21"/>
  <c r="W84" i="21"/>
  <c r="AB84" i="21" s="1"/>
  <c r="R84" i="21"/>
  <c r="Q84" i="21"/>
  <c r="O84" i="21"/>
  <c r="N84" i="21"/>
  <c r="L84" i="21"/>
  <c r="K84" i="21"/>
  <c r="H84" i="21"/>
  <c r="AA84" i="21" s="1"/>
  <c r="AL83" i="21"/>
  <c r="AK83" i="21"/>
  <c r="AI83" i="21"/>
  <c r="AE83" i="21"/>
  <c r="Y83" i="21"/>
  <c r="W83" i="21"/>
  <c r="AB83" i="21" s="1"/>
  <c r="R83" i="21"/>
  <c r="Q83" i="21"/>
  <c r="O83" i="21"/>
  <c r="N83" i="21"/>
  <c r="L83" i="21"/>
  <c r="K83" i="21"/>
  <c r="H83" i="21"/>
  <c r="AA83" i="21" s="1"/>
  <c r="AK82" i="21"/>
  <c r="Q82" i="21"/>
  <c r="N82" i="21"/>
  <c r="K82" i="21"/>
  <c r="H82" i="21"/>
  <c r="AK81" i="21"/>
  <c r="Q81" i="21"/>
  <c r="N81" i="21"/>
  <c r="K81" i="21"/>
  <c r="H81" i="21"/>
  <c r="G81" i="21"/>
  <c r="AI80" i="21"/>
  <c r="AF80" i="21"/>
  <c r="Z80" i="21"/>
  <c r="W80" i="21"/>
  <c r="AB80" i="21" s="1"/>
  <c r="R80" i="21"/>
  <c r="O80" i="21"/>
  <c r="L80" i="21"/>
  <c r="H80" i="21"/>
  <c r="K80" i="21" s="1"/>
  <c r="AL79" i="21"/>
  <c r="R79" i="21"/>
  <c r="O79" i="21"/>
  <c r="L79" i="21"/>
  <c r="H79" i="21"/>
  <c r="AL78" i="21"/>
  <c r="R78" i="21"/>
  <c r="O78" i="21"/>
  <c r="L78" i="21"/>
  <c r="H78" i="21"/>
  <c r="AK77" i="21"/>
  <c r="Q77" i="21"/>
  <c r="N77" i="21"/>
  <c r="K77" i="21"/>
  <c r="H77" i="21"/>
  <c r="G77" i="21"/>
  <c r="AI76" i="21"/>
  <c r="AF76" i="21"/>
  <c r="Z76" i="21"/>
  <c r="W76" i="21"/>
  <c r="R76" i="21"/>
  <c r="O76" i="21"/>
  <c r="L76" i="21"/>
  <c r="H76" i="21"/>
  <c r="N76" i="21" s="1"/>
  <c r="AL75" i="21"/>
  <c r="R75" i="21"/>
  <c r="O75" i="21"/>
  <c r="L75" i="21"/>
  <c r="H75" i="21"/>
  <c r="AL74" i="21"/>
  <c r="R74" i="21"/>
  <c r="O74" i="21"/>
  <c r="L74" i="21"/>
  <c r="H74" i="21"/>
  <c r="G74" i="21"/>
  <c r="AT74" i="21" s="1"/>
  <c r="AL73" i="21"/>
  <c r="AK73" i="21"/>
  <c r="AI73" i="21"/>
  <c r="AE73" i="21"/>
  <c r="Y73" i="21"/>
  <c r="W73" i="21"/>
  <c r="R73" i="21"/>
  <c r="Q73" i="21"/>
  <c r="O73" i="21"/>
  <c r="N73" i="21"/>
  <c r="L73" i="21"/>
  <c r="K73" i="21"/>
  <c r="H73" i="21"/>
  <c r="AK72" i="21"/>
  <c r="Q72" i="21"/>
  <c r="N72" i="21"/>
  <c r="K72" i="21"/>
  <c r="H72" i="21"/>
  <c r="G63" i="20"/>
  <c r="G69" i="21"/>
  <c r="G68" i="21"/>
  <c r="G65" i="21"/>
  <c r="G62" i="21"/>
  <c r="AK69" i="21"/>
  <c r="AE69" i="21"/>
  <c r="AB69" i="21"/>
  <c r="Q69" i="21"/>
  <c r="N69" i="21"/>
  <c r="K69" i="21"/>
  <c r="H69" i="21"/>
  <c r="AF69" i="21" s="1"/>
  <c r="AK68" i="21"/>
  <c r="AE68" i="21"/>
  <c r="AB68" i="21"/>
  <c r="Q68" i="21"/>
  <c r="N68" i="21"/>
  <c r="K68" i="21"/>
  <c r="H68" i="21"/>
  <c r="AF68" i="21" s="1"/>
  <c r="AL67" i="21"/>
  <c r="AK67" i="21"/>
  <c r="AI67" i="21"/>
  <c r="AE67" i="21"/>
  <c r="Y67" i="21"/>
  <c r="W67" i="21"/>
  <c r="R67" i="21"/>
  <c r="Q67" i="21"/>
  <c r="O67" i="21"/>
  <c r="N67" i="21"/>
  <c r="L67" i="21"/>
  <c r="K67" i="21"/>
  <c r="H67" i="21"/>
  <c r="AA67" i="21" s="1"/>
  <c r="AL66" i="21"/>
  <c r="AK66" i="21"/>
  <c r="AI66" i="21"/>
  <c r="AE66" i="21"/>
  <c r="Y66" i="21"/>
  <c r="W66" i="21"/>
  <c r="AB66" i="21" s="1"/>
  <c r="R66" i="21"/>
  <c r="Q66" i="21"/>
  <c r="O66" i="21"/>
  <c r="N66" i="21"/>
  <c r="L66" i="21"/>
  <c r="K66" i="21"/>
  <c r="H66" i="21"/>
  <c r="AA66" i="21" s="1"/>
  <c r="AK65" i="21"/>
  <c r="Q65" i="21"/>
  <c r="N65" i="21"/>
  <c r="K65" i="21"/>
  <c r="H65" i="21"/>
  <c r="AL64" i="21"/>
  <c r="AK64" i="21"/>
  <c r="AI64" i="21"/>
  <c r="AE64" i="21"/>
  <c r="Y64" i="21"/>
  <c r="W64" i="21"/>
  <c r="AB64" i="21" s="1"/>
  <c r="R64" i="21"/>
  <c r="Q64" i="21"/>
  <c r="O64" i="21"/>
  <c r="N64" i="21"/>
  <c r="L64" i="21"/>
  <c r="K64" i="21"/>
  <c r="H64" i="21"/>
  <c r="AA64" i="21" s="1"/>
  <c r="AL63" i="21"/>
  <c r="AK63" i="21"/>
  <c r="AI63" i="21"/>
  <c r="AE63" i="21"/>
  <c r="Y63" i="21"/>
  <c r="W63" i="21"/>
  <c r="R63" i="21"/>
  <c r="Q63" i="21"/>
  <c r="O63" i="21"/>
  <c r="N63" i="21"/>
  <c r="L63" i="21"/>
  <c r="K63" i="21"/>
  <c r="H63" i="21"/>
  <c r="AA63" i="21" s="1"/>
  <c r="AK62" i="21"/>
  <c r="Q62" i="21"/>
  <c r="N62" i="21"/>
  <c r="K62" i="21"/>
  <c r="H62" i="21"/>
  <c r="G61" i="21"/>
  <c r="AL61" i="21"/>
  <c r="R61" i="21"/>
  <c r="O61" i="21"/>
  <c r="L61" i="21"/>
  <c r="H61" i="21"/>
  <c r="G60" i="21"/>
  <c r="AT60" i="21" s="1"/>
  <c r="AL60" i="21"/>
  <c r="R60" i="21"/>
  <c r="O60" i="21"/>
  <c r="L60" i="21"/>
  <c r="J60" i="21"/>
  <c r="P60" i="21" s="1"/>
  <c r="H60" i="21"/>
  <c r="AI59" i="21"/>
  <c r="AF59" i="21"/>
  <c r="Z59" i="21"/>
  <c r="W59" i="21"/>
  <c r="R59" i="21"/>
  <c r="O59" i="21"/>
  <c r="L59" i="21"/>
  <c r="H59" i="21"/>
  <c r="K59" i="21" s="1"/>
  <c r="G58" i="21"/>
  <c r="AT58" i="21" s="1"/>
  <c r="AL58" i="21"/>
  <c r="R58" i="21"/>
  <c r="O58" i="21"/>
  <c r="L58" i="21"/>
  <c r="J58" i="21"/>
  <c r="P58" i="21" s="1"/>
  <c r="H58" i="21"/>
  <c r="AI56" i="21"/>
  <c r="AF56" i="21"/>
  <c r="Z56" i="21"/>
  <c r="W56" i="21"/>
  <c r="R56" i="21"/>
  <c r="O56" i="21"/>
  <c r="L56" i="21"/>
  <c r="H56" i="21"/>
  <c r="N56" i="21" s="1"/>
  <c r="AK54" i="21"/>
  <c r="AL54" i="21"/>
  <c r="R54" i="21"/>
  <c r="O54" i="21"/>
  <c r="L54" i="21"/>
  <c r="J54" i="21"/>
  <c r="P54" i="21" s="1"/>
  <c r="H54" i="21"/>
  <c r="G52" i="21"/>
  <c r="AL52" i="21"/>
  <c r="R52" i="21"/>
  <c r="O52" i="21"/>
  <c r="L52" i="21"/>
  <c r="J52" i="21"/>
  <c r="P52" i="21" s="1"/>
  <c r="H52" i="21"/>
  <c r="AN51" i="21"/>
  <c r="AL51" i="21"/>
  <c r="AK51" i="21"/>
  <c r="AI51" i="21"/>
  <c r="AF51" i="21"/>
  <c r="Z51" i="21"/>
  <c r="W51" i="21"/>
  <c r="R51" i="21"/>
  <c r="O51" i="21"/>
  <c r="L51" i="21"/>
  <c r="H51" i="21"/>
  <c r="Q51" i="21" s="1"/>
  <c r="G50" i="21"/>
  <c r="O50" i="21"/>
  <c r="L50" i="21"/>
  <c r="J50" i="21"/>
  <c r="P50" i="21" s="1"/>
  <c r="R50" i="21"/>
  <c r="H50" i="21"/>
  <c r="AL50" i="21"/>
  <c r="AN47" i="21"/>
  <c r="AL47" i="21"/>
  <c r="AK47" i="21"/>
  <c r="AI47" i="21"/>
  <c r="W47" i="21"/>
  <c r="AE47" i="21" s="1"/>
  <c r="R47" i="21"/>
  <c r="O47" i="21"/>
  <c r="L47" i="21"/>
  <c r="H47" i="21"/>
  <c r="Q47" i="21" s="1"/>
  <c r="G46" i="21"/>
  <c r="G45" i="21"/>
  <c r="AT45" i="21" s="1"/>
  <c r="G44" i="21"/>
  <c r="G43" i="21"/>
  <c r="AL43" i="21"/>
  <c r="O43" i="21"/>
  <c r="J43" i="21"/>
  <c r="P43" i="21" s="1"/>
  <c r="H43" i="21"/>
  <c r="G42" i="21"/>
  <c r="AT42" i="21" s="1"/>
  <c r="AK42" i="21"/>
  <c r="J46" i="21"/>
  <c r="P46" i="21" s="1"/>
  <c r="H46" i="21"/>
  <c r="J45" i="21"/>
  <c r="P45" i="21" s="1"/>
  <c r="H45" i="21"/>
  <c r="AL44" i="21"/>
  <c r="R44" i="21"/>
  <c r="O44" i="21"/>
  <c r="L44" i="21"/>
  <c r="J44" i="21"/>
  <c r="P44" i="21" s="1"/>
  <c r="H44" i="21"/>
  <c r="J42" i="21"/>
  <c r="P42" i="21" s="1"/>
  <c r="H42" i="21"/>
  <c r="G39" i="21"/>
  <c r="AT39" i="21" s="1"/>
  <c r="AL39" i="21"/>
  <c r="R39" i="21"/>
  <c r="O39" i="21"/>
  <c r="L39" i="21"/>
  <c r="J39" i="21"/>
  <c r="P39" i="21" s="1"/>
  <c r="H39" i="21"/>
  <c r="AL38" i="21"/>
  <c r="AI38" i="21"/>
  <c r="AF38" i="21"/>
  <c r="Z38" i="21"/>
  <c r="W38" i="21"/>
  <c r="R38" i="21"/>
  <c r="O38" i="21"/>
  <c r="L38" i="21"/>
  <c r="H38" i="21"/>
  <c r="Q38" i="21" s="1"/>
  <c r="G37" i="21"/>
  <c r="AT37" i="21" s="1"/>
  <c r="AL37" i="21"/>
  <c r="R37" i="21"/>
  <c r="O37" i="21"/>
  <c r="L37" i="21"/>
  <c r="J37" i="21"/>
  <c r="P37" i="21" s="1"/>
  <c r="H37" i="21"/>
  <c r="AL36" i="21"/>
  <c r="R36" i="21"/>
  <c r="O36" i="21"/>
  <c r="L36" i="21"/>
  <c r="J36" i="21"/>
  <c r="P36" i="21" s="1"/>
  <c r="H36" i="21"/>
  <c r="G36" i="21"/>
  <c r="AT36" i="21" s="1"/>
  <c r="AN35" i="21"/>
  <c r="AL35" i="21"/>
  <c r="AK35" i="21"/>
  <c r="AI35" i="21"/>
  <c r="AF35" i="21"/>
  <c r="Z35" i="21"/>
  <c r="W35" i="21"/>
  <c r="R35" i="21"/>
  <c r="O35" i="21"/>
  <c r="L35" i="21"/>
  <c r="H35" i="21"/>
  <c r="Q35" i="21" s="1"/>
  <c r="AK34" i="21"/>
  <c r="AL34" i="21"/>
  <c r="R34" i="21"/>
  <c r="O34" i="21"/>
  <c r="L34" i="21"/>
  <c r="J34" i="21"/>
  <c r="P34" i="21" s="1"/>
  <c r="H34" i="21"/>
  <c r="AK135" i="22" l="1"/>
  <c r="AT135" i="22"/>
  <c r="L68" i="21"/>
  <c r="AT68" i="21"/>
  <c r="AI124" i="21"/>
  <c r="AT124" i="21"/>
  <c r="L74" i="22"/>
  <c r="AT74" i="22"/>
  <c r="R86" i="22"/>
  <c r="AT86" i="22"/>
  <c r="AK95" i="21"/>
  <c r="AT95" i="21"/>
  <c r="AK10" i="22"/>
  <c r="AT10" i="22"/>
  <c r="L44" i="22"/>
  <c r="AT44" i="22"/>
  <c r="AL45" i="22"/>
  <c r="AT45" i="22"/>
  <c r="AI57" i="22"/>
  <c r="AT57" i="22"/>
  <c r="AI58" i="22"/>
  <c r="AT58" i="22"/>
  <c r="AL89" i="22"/>
  <c r="AT89" i="22"/>
  <c r="O106" i="22"/>
  <c r="AT106" i="22"/>
  <c r="AK133" i="22"/>
  <c r="AT133" i="22"/>
  <c r="AK152" i="22"/>
  <c r="AT152" i="22"/>
  <c r="AK186" i="22"/>
  <c r="AT186" i="22"/>
  <c r="AI188" i="22"/>
  <c r="AT188" i="22"/>
  <c r="AI220" i="22"/>
  <c r="AT220" i="22"/>
  <c r="L223" i="22"/>
  <c r="AT223" i="22"/>
  <c r="AI44" i="21"/>
  <c r="AT44" i="21"/>
  <c r="AK136" i="21"/>
  <c r="AT136" i="21"/>
  <c r="AK219" i="21"/>
  <c r="AT219" i="21"/>
  <c r="AL231" i="21"/>
  <c r="AK36" i="22"/>
  <c r="AT36" i="22"/>
  <c r="AT273" i="22" s="1"/>
  <c r="N69" i="16" s="1"/>
  <c r="E6" i="44" s="1"/>
  <c r="AI51" i="22"/>
  <c r="AT51" i="22"/>
  <c r="AK72" i="22"/>
  <c r="AT72" i="22"/>
  <c r="AI92" i="22"/>
  <c r="AT92" i="22"/>
  <c r="O98" i="22"/>
  <c r="AT98" i="22"/>
  <c r="AI109" i="22"/>
  <c r="AT109" i="22"/>
  <c r="AK158" i="22"/>
  <c r="AT158" i="22"/>
  <c r="O226" i="22"/>
  <c r="AT226" i="22"/>
  <c r="AK244" i="22"/>
  <c r="AT244" i="22"/>
  <c r="AK248" i="22"/>
  <c r="AT248" i="22"/>
  <c r="S63" i="4"/>
  <c r="AI65" i="21"/>
  <c r="AT65" i="21"/>
  <c r="AI78" i="21"/>
  <c r="AT78" i="21"/>
  <c r="AK115" i="21"/>
  <c r="AT115" i="21"/>
  <c r="AI263" i="21"/>
  <c r="AT263" i="21"/>
  <c r="AK24" i="22"/>
  <c r="AT24" i="22"/>
  <c r="L77" i="21"/>
  <c r="AT77" i="21"/>
  <c r="AI102" i="21"/>
  <c r="AT102" i="21"/>
  <c r="W11" i="22"/>
  <c r="AT11" i="22"/>
  <c r="O66" i="22"/>
  <c r="AT66" i="22"/>
  <c r="O99" i="22"/>
  <c r="AT99" i="22"/>
  <c r="L102" i="22"/>
  <c r="AT102" i="22"/>
  <c r="AI173" i="22"/>
  <c r="AT173" i="22"/>
  <c r="O69" i="21"/>
  <c r="AT69" i="21"/>
  <c r="AI82" i="21"/>
  <c r="AT82" i="21"/>
  <c r="AK177" i="21"/>
  <c r="AT177" i="21"/>
  <c r="AK217" i="21"/>
  <c r="AT217" i="21"/>
  <c r="AK191" i="21"/>
  <c r="AT191" i="21"/>
  <c r="AL46" i="21"/>
  <c r="AT46" i="21"/>
  <c r="AK50" i="21"/>
  <c r="AT50" i="21"/>
  <c r="AI99" i="21"/>
  <c r="AT99" i="21"/>
  <c r="L224" i="21"/>
  <c r="AT224" i="21"/>
  <c r="AI252" i="21"/>
  <c r="AT252" i="21"/>
  <c r="AK149" i="22"/>
  <c r="AT149" i="22"/>
  <c r="AE46" i="4"/>
  <c r="I13" i="7"/>
  <c r="E18" i="7"/>
  <c r="AK243" i="21"/>
  <c r="AT243" i="21"/>
  <c r="L85" i="21"/>
  <c r="AT85" i="21"/>
  <c r="AO88" i="21"/>
  <c r="AT88" i="21"/>
  <c r="AO89" i="21"/>
  <c r="AT89" i="21"/>
  <c r="L72" i="21"/>
  <c r="AT72" i="21"/>
  <c r="AI112" i="21"/>
  <c r="AT112" i="21"/>
  <c r="AI135" i="21"/>
  <c r="AT135" i="21"/>
  <c r="AI182" i="21"/>
  <c r="AT182" i="21"/>
  <c r="AK184" i="21"/>
  <c r="AT184" i="21"/>
  <c r="AL227" i="21"/>
  <c r="AT227" i="21"/>
  <c r="AI207" i="22"/>
  <c r="AT207" i="22"/>
  <c r="AK228" i="22"/>
  <c r="AT228" i="22"/>
  <c r="Q68" i="4"/>
  <c r="AI231" i="21"/>
  <c r="AT231" i="21"/>
  <c r="AO65" i="22"/>
  <c r="AT65" i="22"/>
  <c r="R85" i="22"/>
  <c r="AT85" i="22"/>
  <c r="AL81" i="21"/>
  <c r="AT81" i="21"/>
  <c r="AK249" i="21"/>
  <c r="AT249" i="21"/>
  <c r="AK14" i="22"/>
  <c r="AT14" i="22"/>
  <c r="AK43" i="21"/>
  <c r="AT43" i="21"/>
  <c r="AI61" i="21"/>
  <c r="AT61" i="21"/>
  <c r="AI155" i="21"/>
  <c r="AT155" i="21"/>
  <c r="AK167" i="21"/>
  <c r="AT167" i="21"/>
  <c r="AK271" i="21"/>
  <c r="AT271" i="21"/>
  <c r="AI205" i="22"/>
  <c r="AT205" i="22"/>
  <c r="I21" i="7"/>
  <c r="E26" i="7"/>
  <c r="AI52" i="21"/>
  <c r="AT52" i="21"/>
  <c r="AI62" i="21"/>
  <c r="AT62" i="21"/>
  <c r="AK75" i="21"/>
  <c r="AT75" i="21"/>
  <c r="AK98" i="21"/>
  <c r="AT98" i="21"/>
  <c r="AI148" i="21"/>
  <c r="AT148" i="21"/>
  <c r="AI152" i="21"/>
  <c r="AT152" i="21"/>
  <c r="AK160" i="21"/>
  <c r="AT160" i="21"/>
  <c r="AK206" i="21"/>
  <c r="AT206" i="21"/>
  <c r="AK246" i="21"/>
  <c r="AT246" i="21"/>
  <c r="AK196" i="21"/>
  <c r="AT196" i="21"/>
  <c r="AK229" i="21"/>
  <c r="AT229" i="21"/>
  <c r="AK75" i="22"/>
  <c r="AT75" i="22"/>
  <c r="AK193" i="22"/>
  <c r="AT193" i="22"/>
  <c r="Q42" i="4"/>
  <c r="Q56" i="4"/>
  <c r="AK174" i="22"/>
  <c r="AT174" i="22"/>
  <c r="AK218" i="22"/>
  <c r="AT218" i="22"/>
  <c r="AK270" i="22"/>
  <c r="AT270" i="22"/>
  <c r="N27" i="4"/>
  <c r="N215" i="21"/>
  <c r="Q215" i="21"/>
  <c r="Q259" i="22"/>
  <c r="K265" i="22"/>
  <c r="P42" i="22"/>
  <c r="Q42" i="22" s="1"/>
  <c r="P45" i="22"/>
  <c r="R45" i="22" s="1"/>
  <c r="AK92" i="22"/>
  <c r="AI102" i="22"/>
  <c r="N205" i="22"/>
  <c r="AK205" i="22"/>
  <c r="K208" i="22"/>
  <c r="P57" i="22"/>
  <c r="Q57" i="22" s="1"/>
  <c r="AK109" i="22"/>
  <c r="AA259" i="21"/>
  <c r="AI229" i="21"/>
  <c r="Y11" i="22"/>
  <c r="P43" i="22"/>
  <c r="P51" i="22"/>
  <c r="Q51" i="22" s="1"/>
  <c r="P55" i="22"/>
  <c r="N91" i="22"/>
  <c r="T42" i="4"/>
  <c r="T46" i="4"/>
  <c r="Y50" i="4"/>
  <c r="N51" i="4"/>
  <c r="N52" i="4"/>
  <c r="N60" i="4"/>
  <c r="Q62" i="4"/>
  <c r="AE63" i="4"/>
  <c r="Q66" i="4"/>
  <c r="Y67" i="4"/>
  <c r="N68" i="4"/>
  <c r="Q69" i="4"/>
  <c r="N73" i="4"/>
  <c r="Q59" i="4"/>
  <c r="T67" i="4"/>
  <c r="K73" i="4"/>
  <c r="S73" i="4" s="1"/>
  <c r="AO73" i="4" s="1"/>
  <c r="AA21" i="41"/>
  <c r="K201" i="20"/>
  <c r="P41" i="22"/>
  <c r="R41" i="22" s="1"/>
  <c r="P44" i="22"/>
  <c r="P49" i="22"/>
  <c r="Q49" i="22" s="1"/>
  <c r="P52" i="22"/>
  <c r="Q52" i="22" s="1"/>
  <c r="K173" i="22"/>
  <c r="T238" i="22"/>
  <c r="N42" i="4"/>
  <c r="AE42" i="4"/>
  <c r="Q45" i="4"/>
  <c r="Q46" i="4"/>
  <c r="Q51" i="4"/>
  <c r="T56" i="4"/>
  <c r="N56" i="4"/>
  <c r="AJ56" i="4"/>
  <c r="Q60" i="4"/>
  <c r="T61" i="4"/>
  <c r="T63" i="4"/>
  <c r="AH73" i="4"/>
  <c r="Q73" i="4"/>
  <c r="Q181" i="22"/>
  <c r="AI181" i="22"/>
  <c r="Q206" i="22"/>
  <c r="AI218" i="22"/>
  <c r="AI244" i="22"/>
  <c r="N42" i="22"/>
  <c r="AI72" i="22"/>
  <c r="AO106" i="22"/>
  <c r="AI133" i="22"/>
  <c r="N181" i="22"/>
  <c r="N204" i="22"/>
  <c r="N207" i="22"/>
  <c r="N208" i="22"/>
  <c r="Q228" i="22"/>
  <c r="N20" i="22"/>
  <c r="Q35" i="22"/>
  <c r="AO66" i="22"/>
  <c r="R98" i="22"/>
  <c r="AI99" i="22"/>
  <c r="N133" i="22"/>
  <c r="K139" i="22"/>
  <c r="Y187" i="22"/>
  <c r="AE206" i="22"/>
  <c r="N211" i="22"/>
  <c r="AF227" i="22"/>
  <c r="R230" i="22"/>
  <c r="AI198" i="21"/>
  <c r="N257" i="21"/>
  <c r="AI201" i="20"/>
  <c r="N201" i="20"/>
  <c r="AA29" i="41"/>
  <c r="AD15" i="41"/>
  <c r="Q195" i="22"/>
  <c r="T24" i="22"/>
  <c r="K52" i="22"/>
  <c r="T206" i="22"/>
  <c r="T96" i="22"/>
  <c r="Q72" i="22"/>
  <c r="AF64" i="22"/>
  <c r="S70" i="22"/>
  <c r="Q207" i="22"/>
  <c r="AA73" i="22"/>
  <c r="T93" i="22"/>
  <c r="N55" i="22"/>
  <c r="S62" i="22"/>
  <c r="K109" i="22"/>
  <c r="AA125" i="22"/>
  <c r="Q187" i="22"/>
  <c r="Q205" i="22"/>
  <c r="N219" i="22"/>
  <c r="T193" i="22"/>
  <c r="Q55" i="22"/>
  <c r="S74" i="22"/>
  <c r="S220" i="22"/>
  <c r="AE54" i="22"/>
  <c r="S78" i="22"/>
  <c r="T91" i="22"/>
  <c r="T174" i="22"/>
  <c r="T14" i="22"/>
  <c r="S226" i="22"/>
  <c r="AF84" i="22"/>
  <c r="T214" i="22"/>
  <c r="Q219" i="22"/>
  <c r="Q73" i="22"/>
  <c r="AA187" i="22"/>
  <c r="T219" i="22"/>
  <c r="R62" i="22"/>
  <c r="Q218" i="22"/>
  <c r="S64" i="22"/>
  <c r="S65" i="22"/>
  <c r="S59" i="22"/>
  <c r="Q25" i="22"/>
  <c r="S222" i="22"/>
  <c r="N216" i="22"/>
  <c r="T257" i="22"/>
  <c r="Q201" i="20"/>
  <c r="T201" i="20"/>
  <c r="AE213" i="21"/>
  <c r="N240" i="21"/>
  <c r="N158" i="21"/>
  <c r="K161" i="21"/>
  <c r="N212" i="21"/>
  <c r="F22" i="12"/>
  <c r="E23" i="12"/>
  <c r="E35" i="12"/>
  <c r="F21" i="12"/>
  <c r="T73" i="4"/>
  <c r="T69" i="4"/>
  <c r="T68" i="4"/>
  <c r="T66" i="4"/>
  <c r="T62" i="4"/>
  <c r="T60" i="4"/>
  <c r="T59" i="4"/>
  <c r="K67" i="4"/>
  <c r="N61" i="4"/>
  <c r="AH62" i="4"/>
  <c r="N67" i="4"/>
  <c r="S67" i="4" s="1"/>
  <c r="AO67" i="4" s="1"/>
  <c r="N43" i="4"/>
  <c r="AH59" i="4"/>
  <c r="K62" i="4"/>
  <c r="K59" i="4"/>
  <c r="Q61" i="4"/>
  <c r="Y63" i="4"/>
  <c r="Q43" i="4"/>
  <c r="N62" i="4"/>
  <c r="N59" i="4"/>
  <c r="AH60" i="4"/>
  <c r="AA63" i="4"/>
  <c r="AH66" i="4"/>
  <c r="AH68" i="4"/>
  <c r="T50" i="4"/>
  <c r="AH61" i="4"/>
  <c r="AH69" i="4"/>
  <c r="K61" i="4"/>
  <c r="AA67" i="4"/>
  <c r="K69" i="4"/>
  <c r="AJ69" i="4"/>
  <c r="T51" i="4"/>
  <c r="AE67" i="4"/>
  <c r="N69" i="4"/>
  <c r="AJ62" i="4"/>
  <c r="N46" i="4"/>
  <c r="S46" i="4" s="1"/>
  <c r="K60" i="4"/>
  <c r="AB63" i="4"/>
  <c r="K66" i="4"/>
  <c r="K68" i="4"/>
  <c r="S68" i="4" s="1"/>
  <c r="AO68" i="4" s="1"/>
  <c r="S56" i="4"/>
  <c r="AO56" i="4" s="1"/>
  <c r="T52" i="4"/>
  <c r="N49" i="4"/>
  <c r="Q49" i="4"/>
  <c r="T49" i="4"/>
  <c r="T45" i="4"/>
  <c r="T44" i="4"/>
  <c r="T43" i="4"/>
  <c r="AH44" i="4"/>
  <c r="AH52" i="4"/>
  <c r="K44" i="4"/>
  <c r="AJ44" i="4"/>
  <c r="AA50" i="4"/>
  <c r="K52" i="4"/>
  <c r="K50" i="4"/>
  <c r="N44" i="4"/>
  <c r="AE50" i="4"/>
  <c r="AH45" i="4"/>
  <c r="N50" i="4"/>
  <c r="S50" i="4" s="1"/>
  <c r="AO50" i="4" s="1"/>
  <c r="AH42" i="4"/>
  <c r="K45" i="4"/>
  <c r="AJ45" i="4"/>
  <c r="K42" i="4"/>
  <c r="AJ42" i="4"/>
  <c r="Y46" i="4"/>
  <c r="Q52" i="4"/>
  <c r="N45" i="4"/>
  <c r="AH43" i="4"/>
  <c r="AA46" i="4"/>
  <c r="AH49" i="4"/>
  <c r="AH51" i="4"/>
  <c r="K43" i="4"/>
  <c r="AB46" i="4"/>
  <c r="K49" i="4"/>
  <c r="K51" i="4"/>
  <c r="S51" i="4" s="1"/>
  <c r="AO51" i="4" s="1"/>
  <c r="AJ52" i="4"/>
  <c r="AJ27" i="4"/>
  <c r="T27" i="4"/>
  <c r="Q27" i="4"/>
  <c r="AH27" i="4"/>
  <c r="K27" i="4"/>
  <c r="AK145" i="22"/>
  <c r="AI145" i="22"/>
  <c r="T146" i="22"/>
  <c r="AB54" i="22"/>
  <c r="AB81" i="22"/>
  <c r="AF81" i="22"/>
  <c r="T136" i="22"/>
  <c r="T57" i="22"/>
  <c r="AI71" i="22"/>
  <c r="AK71" i="22"/>
  <c r="AA122" i="22"/>
  <c r="N122" i="22"/>
  <c r="N38" i="22"/>
  <c r="AI38" i="22"/>
  <c r="AK43" i="22"/>
  <c r="AI43" i="22"/>
  <c r="T30" i="22"/>
  <c r="AK111" i="22"/>
  <c r="K111" i="22"/>
  <c r="AI155" i="22"/>
  <c r="K155" i="22"/>
  <c r="N155" i="22"/>
  <c r="Z222" i="22"/>
  <c r="S230" i="22"/>
  <c r="AK151" i="22"/>
  <c r="AI151" i="22"/>
  <c r="K151" i="22"/>
  <c r="N151" i="22"/>
  <c r="AK245" i="22"/>
  <c r="AI245" i="22"/>
  <c r="AI78" i="22"/>
  <c r="O78" i="22"/>
  <c r="S85" i="22"/>
  <c r="Q214" i="22"/>
  <c r="AA214" i="22"/>
  <c r="N214" i="22"/>
  <c r="K214" i="22"/>
  <c r="AK233" i="22"/>
  <c r="AI233" i="22"/>
  <c r="Q233" i="22"/>
  <c r="O59" i="22"/>
  <c r="L59" i="22"/>
  <c r="S79" i="22"/>
  <c r="N233" i="22"/>
  <c r="AI7" i="22"/>
  <c r="AK7" i="22"/>
  <c r="T9" i="22"/>
  <c r="R44" i="22"/>
  <c r="AF46" i="22"/>
  <c r="AA77" i="22"/>
  <c r="N77" i="22"/>
  <c r="Q77" i="22"/>
  <c r="L78" i="22"/>
  <c r="AA114" i="22"/>
  <c r="Q114" i="22"/>
  <c r="AK254" i="22"/>
  <c r="AI254" i="22"/>
  <c r="Y8" i="22"/>
  <c r="N114" i="22"/>
  <c r="AA63" i="22"/>
  <c r="Z63" i="22"/>
  <c r="S105" i="22"/>
  <c r="AK182" i="22"/>
  <c r="AI182" i="22"/>
  <c r="K271" i="22"/>
  <c r="T250" i="22"/>
  <c r="Q43" i="22"/>
  <c r="T141" i="22"/>
  <c r="Q254" i="22"/>
  <c r="T271" i="22"/>
  <c r="Q11" i="22"/>
  <c r="T50" i="22"/>
  <c r="T52" i="22"/>
  <c r="T110" i="22"/>
  <c r="T135" i="22"/>
  <c r="T182" i="22"/>
  <c r="T199" i="22"/>
  <c r="AO223" i="22"/>
  <c r="Q245" i="22"/>
  <c r="N248" i="22"/>
  <c r="T249" i="22"/>
  <c r="Y263" i="22"/>
  <c r="T265" i="22"/>
  <c r="K11" i="22"/>
  <c r="Q33" i="22"/>
  <c r="AF104" i="22"/>
  <c r="N125" i="22"/>
  <c r="N158" i="22"/>
  <c r="K205" i="22"/>
  <c r="Q216" i="22"/>
  <c r="T221" i="22"/>
  <c r="Z232" i="22"/>
  <c r="T233" i="22"/>
  <c r="K244" i="22"/>
  <c r="T245" i="22"/>
  <c r="T263" i="22"/>
  <c r="N270" i="22"/>
  <c r="S60" i="22"/>
  <c r="S61" i="22"/>
  <c r="Q91" i="22"/>
  <c r="T112" i="22"/>
  <c r="R59" i="22"/>
  <c r="Q14" i="22"/>
  <c r="T20" i="22"/>
  <c r="T51" i="22"/>
  <c r="AF100" i="22"/>
  <c r="Q158" i="22"/>
  <c r="T11" i="22"/>
  <c r="T19" i="22"/>
  <c r="K42" i="22"/>
  <c r="S80" i="22"/>
  <c r="T84" i="22"/>
  <c r="T94" i="22"/>
  <c r="S101" i="22"/>
  <c r="K133" i="22"/>
  <c r="T140" i="22"/>
  <c r="K186" i="22"/>
  <c r="T187" i="22"/>
  <c r="T188" i="22"/>
  <c r="T237" i="22"/>
  <c r="Q244" i="22"/>
  <c r="AI248" i="22"/>
  <c r="T270" i="22"/>
  <c r="N9" i="22"/>
  <c r="N19" i="22"/>
  <c r="T33" i="22"/>
  <c r="T42" i="22"/>
  <c r="AL62" i="22"/>
  <c r="Z64" i="22"/>
  <c r="Y73" i="22"/>
  <c r="S83" i="22"/>
  <c r="K92" i="22"/>
  <c r="AA136" i="22"/>
  <c r="AI158" i="22"/>
  <c r="T186" i="22"/>
  <c r="AK188" i="22"/>
  <c r="T205" i="22"/>
  <c r="T228" i="22"/>
  <c r="Q236" i="22"/>
  <c r="T244" i="22"/>
  <c r="T269" i="22"/>
  <c r="Z80" i="22"/>
  <c r="T83" i="22"/>
  <c r="AK176" i="22"/>
  <c r="AI176" i="22"/>
  <c r="Q176" i="22"/>
  <c r="T251" i="22"/>
  <c r="AA37" i="22"/>
  <c r="N37" i="22"/>
  <c r="AK52" i="22"/>
  <c r="AI74" i="22"/>
  <c r="AF90" i="22"/>
  <c r="T222" i="22"/>
  <c r="L45" i="22"/>
  <c r="AA90" i="22"/>
  <c r="Z90" i="22"/>
  <c r="AL102" i="22"/>
  <c r="O102" i="22"/>
  <c r="L106" i="22"/>
  <c r="R106" i="22"/>
  <c r="AK216" i="22"/>
  <c r="K216" i="22"/>
  <c r="T7" i="22"/>
  <c r="K15" i="22"/>
  <c r="N15" i="22"/>
  <c r="AA54" i="22"/>
  <c r="Q54" i="22"/>
  <c r="N54" i="22"/>
  <c r="K54" i="22"/>
  <c r="Y54" i="22"/>
  <c r="T72" i="22"/>
  <c r="T103" i="22"/>
  <c r="AB114" i="22"/>
  <c r="AE114" i="22"/>
  <c r="T118" i="22"/>
  <c r="AA196" i="22"/>
  <c r="N196" i="22"/>
  <c r="K196" i="22"/>
  <c r="T218" i="22"/>
  <c r="AF232" i="22"/>
  <c r="Q237" i="22"/>
  <c r="AK237" i="22"/>
  <c r="AA11" i="22"/>
  <c r="N11" i="22"/>
  <c r="O45" i="22"/>
  <c r="T49" i="22"/>
  <c r="R66" i="22"/>
  <c r="AI66" i="22"/>
  <c r="L66" i="22"/>
  <c r="T80" i="22"/>
  <c r="AI86" i="22"/>
  <c r="S103" i="22"/>
  <c r="O105" i="22"/>
  <c r="L105" i="22"/>
  <c r="R105" i="22"/>
  <c r="Y114" i="22"/>
  <c r="AI129" i="22"/>
  <c r="Q129" i="22"/>
  <c r="N129" i="22"/>
  <c r="K129" i="22"/>
  <c r="AK129" i="22"/>
  <c r="Q141" i="22"/>
  <c r="AA172" i="22"/>
  <c r="N172" i="22"/>
  <c r="K172" i="22"/>
  <c r="K256" i="22"/>
  <c r="N256" i="22"/>
  <c r="Q256" i="22"/>
  <c r="AI65" i="22"/>
  <c r="O65" i="22"/>
  <c r="AB70" i="22"/>
  <c r="Z70" i="22"/>
  <c r="AI85" i="22"/>
  <c r="N95" i="22"/>
  <c r="AI95" i="22"/>
  <c r="Q95" i="22"/>
  <c r="T43" i="22"/>
  <c r="AA50" i="22"/>
  <c r="Q50" i="22"/>
  <c r="K50" i="22"/>
  <c r="O89" i="22"/>
  <c r="R89" i="22"/>
  <c r="Q183" i="22"/>
  <c r="AK183" i="22"/>
  <c r="AA255" i="22"/>
  <c r="N255" i="22"/>
  <c r="Q255" i="22"/>
  <c r="AI35" i="22"/>
  <c r="K35" i="22"/>
  <c r="N35" i="22"/>
  <c r="O41" i="22"/>
  <c r="AL41" i="22"/>
  <c r="T81" i="22"/>
  <c r="T109" i="22"/>
  <c r="AK124" i="22"/>
  <c r="AI124" i="22"/>
  <c r="N124" i="22"/>
  <c r="K124" i="22"/>
  <c r="Q124" i="22"/>
  <c r="K255" i="22"/>
  <c r="N262" i="22"/>
  <c r="K262" i="22"/>
  <c r="Y271" i="22"/>
  <c r="K34" i="22"/>
  <c r="N50" i="22"/>
  <c r="T55" i="22"/>
  <c r="AF70" i="22"/>
  <c r="K91" i="22"/>
  <c r="N146" i="22"/>
  <c r="K146" i="22"/>
  <c r="Q146" i="22"/>
  <c r="AK146" i="22"/>
  <c r="AI146" i="22"/>
  <c r="K176" i="22"/>
  <c r="AE214" i="22"/>
  <c r="AB214" i="22"/>
  <c r="K9" i="22"/>
  <c r="AK9" i="22"/>
  <c r="AF60" i="22"/>
  <c r="Z60" i="22"/>
  <c r="AA60" i="22"/>
  <c r="AB172" i="22"/>
  <c r="AE172" i="22"/>
  <c r="AI199" i="22"/>
  <c r="AA199" i="22"/>
  <c r="W199" i="22"/>
  <c r="Y199" i="22" s="1"/>
  <c r="Y214" i="22"/>
  <c r="AK239" i="22"/>
  <c r="Q239" i="22"/>
  <c r="AI268" i="22"/>
  <c r="AK268" i="22"/>
  <c r="K20" i="22"/>
  <c r="Q20" i="22"/>
  <c r="AI20" i="22"/>
  <c r="O44" i="22"/>
  <c r="AI44" i="22"/>
  <c r="Q56" i="22"/>
  <c r="AA56" i="22"/>
  <c r="K57" i="22"/>
  <c r="T58" i="22"/>
  <c r="O74" i="22"/>
  <c r="AK76" i="22"/>
  <c r="AI76" i="22"/>
  <c r="N94" i="22"/>
  <c r="AI94" i="22"/>
  <c r="Y172" i="22"/>
  <c r="N176" i="22"/>
  <c r="AB206" i="22"/>
  <c r="Q242" i="22"/>
  <c r="K56" i="22"/>
  <c r="R65" i="22"/>
  <c r="N76" i="22"/>
  <c r="AK95" i="22"/>
  <c r="T97" i="22"/>
  <c r="AI106" i="22"/>
  <c r="N110" i="22"/>
  <c r="K110" i="22"/>
  <c r="T207" i="22"/>
  <c r="AA238" i="22"/>
  <c r="Q238" i="22"/>
  <c r="N238" i="22"/>
  <c r="W265" i="22"/>
  <c r="Y265" i="22" s="1"/>
  <c r="N265" i="22"/>
  <c r="AA265" i="22"/>
  <c r="T10" i="22"/>
  <c r="K19" i="22"/>
  <c r="AB34" i="22"/>
  <c r="AE34" i="22"/>
  <c r="Q38" i="22"/>
  <c r="Y50" i="22"/>
  <c r="AI52" i="22"/>
  <c r="AE77" i="22"/>
  <c r="AB77" i="22"/>
  <c r="Y77" i="22"/>
  <c r="O86" i="22"/>
  <c r="R99" i="22"/>
  <c r="L99" i="22"/>
  <c r="AL99" i="22"/>
  <c r="AK141" i="22"/>
  <c r="K141" i="22"/>
  <c r="N141" i="22"/>
  <c r="AI141" i="22"/>
  <c r="AA183" i="22"/>
  <c r="K238" i="22"/>
  <c r="AK259" i="22"/>
  <c r="N259" i="22"/>
  <c r="T60" i="22"/>
  <c r="T61" i="22"/>
  <c r="T63" i="22"/>
  <c r="R78" i="22"/>
  <c r="AL78" i="22"/>
  <c r="T92" i="22"/>
  <c r="AI98" i="22"/>
  <c r="L98" i="22"/>
  <c r="AK155" i="22"/>
  <c r="Q155" i="22"/>
  <c r="Q157" i="22"/>
  <c r="AA194" i="22"/>
  <c r="Q194" i="22"/>
  <c r="N194" i="22"/>
  <c r="T196" i="22"/>
  <c r="K243" i="22"/>
  <c r="N244" i="22"/>
  <c r="T25" i="22"/>
  <c r="N36" i="22"/>
  <c r="AI75" i="22"/>
  <c r="Q122" i="22"/>
  <c r="T124" i="22"/>
  <c r="T157" i="22"/>
  <c r="T173" i="22"/>
  <c r="N188" i="22"/>
  <c r="T189" i="22"/>
  <c r="K194" i="22"/>
  <c r="T211" i="22"/>
  <c r="O220" i="22"/>
  <c r="S227" i="22"/>
  <c r="T229" i="22"/>
  <c r="T243" i="22"/>
  <c r="T248" i="22"/>
  <c r="K259" i="22"/>
  <c r="AK55" i="22"/>
  <c r="K55" i="22"/>
  <c r="AI96" i="22"/>
  <c r="AK96" i="22"/>
  <c r="T104" i="22"/>
  <c r="K135" i="22"/>
  <c r="T139" i="22"/>
  <c r="T158" i="22"/>
  <c r="AK181" i="22"/>
  <c r="K181" i="22"/>
  <c r="K190" i="22"/>
  <c r="AI259" i="22"/>
  <c r="N52" i="22"/>
  <c r="AI59" i="22"/>
  <c r="AL59" i="22"/>
  <c r="T71" i="22"/>
  <c r="K75" i="22"/>
  <c r="R102" i="22"/>
  <c r="S104" i="22"/>
  <c r="T171" i="22"/>
  <c r="T198" i="22"/>
  <c r="AI264" i="22"/>
  <c r="AK264" i="22"/>
  <c r="L41" i="22"/>
  <c r="AB64" i="22"/>
  <c r="S69" i="22"/>
  <c r="S86" i="22"/>
  <c r="AK91" i="22"/>
  <c r="AI91" i="22"/>
  <c r="AL98" i="22"/>
  <c r="S102" i="22"/>
  <c r="T111" i="22"/>
  <c r="K122" i="22"/>
  <c r="T145" i="22"/>
  <c r="S221" i="22"/>
  <c r="AA229" i="22"/>
  <c r="Q229" i="22"/>
  <c r="N229" i="22"/>
  <c r="S231" i="22"/>
  <c r="K263" i="22"/>
  <c r="T259" i="22"/>
  <c r="T38" i="22"/>
  <c r="N51" i="22"/>
  <c r="S63" i="22"/>
  <c r="S90" i="22"/>
  <c r="T151" i="22"/>
  <c r="Q193" i="22"/>
  <c r="T212" i="22"/>
  <c r="N236" i="22"/>
  <c r="T256" i="22"/>
  <c r="Q7" i="22"/>
  <c r="T8" i="22"/>
  <c r="S46" i="22"/>
  <c r="T95" i="22"/>
  <c r="T100" i="22"/>
  <c r="N109" i="22"/>
  <c r="K114" i="22"/>
  <c r="T123" i="22"/>
  <c r="T129" i="22"/>
  <c r="T150" i="22"/>
  <c r="Q151" i="22"/>
  <c r="T180" i="22"/>
  <c r="N182" i="22"/>
  <c r="T194" i="22"/>
  <c r="K219" i="22"/>
  <c r="K33" i="22"/>
  <c r="AF101" i="22"/>
  <c r="T231" i="22"/>
  <c r="AE8" i="22"/>
  <c r="T46" i="22"/>
  <c r="T54" i="22"/>
  <c r="T56" i="22"/>
  <c r="T73" i="22"/>
  <c r="T75" i="22"/>
  <c r="S82" i="22"/>
  <c r="S99" i="22"/>
  <c r="Q111" i="22"/>
  <c r="AE122" i="22"/>
  <c r="T134" i="22"/>
  <c r="K158" i="22"/>
  <c r="T183" i="22"/>
  <c r="T195" i="22"/>
  <c r="T236" i="22"/>
  <c r="T242" i="22"/>
  <c r="N123" i="22"/>
  <c r="K123" i="22"/>
  <c r="AI123" i="22"/>
  <c r="Q123" i="22"/>
  <c r="AK123" i="22"/>
  <c r="N213" i="22"/>
  <c r="AK213" i="22"/>
  <c r="AI213" i="22"/>
  <c r="Q213" i="22"/>
  <c r="K213" i="22"/>
  <c r="K18" i="22"/>
  <c r="Q18" i="22"/>
  <c r="AK18" i="22"/>
  <c r="AI18" i="22"/>
  <c r="N30" i="22"/>
  <c r="K30" i="22"/>
  <c r="Q30" i="22"/>
  <c r="K49" i="22"/>
  <c r="N49" i="22"/>
  <c r="AK132" i="22"/>
  <c r="AI132" i="22"/>
  <c r="K132" i="22"/>
  <c r="Q132" i="22"/>
  <c r="N132" i="22"/>
  <c r="T156" i="22"/>
  <c r="Q27" i="22"/>
  <c r="AI27" i="22"/>
  <c r="AL79" i="22"/>
  <c r="O79" i="22"/>
  <c r="L79" i="22"/>
  <c r="R79" i="22"/>
  <c r="T155" i="22"/>
  <c r="AF231" i="22"/>
  <c r="AB231" i="22"/>
  <c r="N7" i="22"/>
  <c r="K7" i="22"/>
  <c r="N140" i="22"/>
  <c r="K140" i="22"/>
  <c r="AI140" i="22"/>
  <c r="Q140" i="22"/>
  <c r="AK140" i="22"/>
  <c r="K251" i="22"/>
  <c r="Q251" i="22"/>
  <c r="AK251" i="22"/>
  <c r="AI251" i="22"/>
  <c r="N251" i="22"/>
  <c r="N18" i="22"/>
  <c r="T204" i="22"/>
  <c r="Y238" i="22"/>
  <c r="AB238" i="22"/>
  <c r="AI26" i="22"/>
  <c r="AK26" i="22"/>
  <c r="Q26" i="22"/>
  <c r="N26" i="22"/>
  <c r="T37" i="22"/>
  <c r="AI10" i="22"/>
  <c r="K10" i="22"/>
  <c r="N10" i="22"/>
  <c r="Q10" i="22"/>
  <c r="AE11" i="22"/>
  <c r="N27" i="22"/>
  <c r="S89" i="22"/>
  <c r="Y229" i="22"/>
  <c r="AE229" i="22"/>
  <c r="AB229" i="22"/>
  <c r="AE238" i="22"/>
  <c r="Q264" i="22"/>
  <c r="N264" i="22"/>
  <c r="K264" i="22"/>
  <c r="T15" i="22"/>
  <c r="T27" i="22"/>
  <c r="S41" i="22"/>
  <c r="AF61" i="22"/>
  <c r="Z61" i="22"/>
  <c r="AI79" i="22"/>
  <c r="AE110" i="22"/>
  <c r="AB110" i="22"/>
  <c r="N113" i="22"/>
  <c r="K113" i="22"/>
  <c r="AI113" i="22"/>
  <c r="AK113" i="22"/>
  <c r="Q113" i="22"/>
  <c r="AI189" i="22"/>
  <c r="N189" i="22"/>
  <c r="AK189" i="22"/>
  <c r="W189" i="22"/>
  <c r="Y189" i="22" s="1"/>
  <c r="K189" i="22"/>
  <c r="AA189" i="22"/>
  <c r="Q189" i="22"/>
  <c r="AB221" i="22"/>
  <c r="AF221" i="22"/>
  <c r="W257" i="22"/>
  <c r="K257" i="22"/>
  <c r="AK257" i="22"/>
  <c r="Q257" i="22"/>
  <c r="AA257" i="22"/>
  <c r="AI257" i="22"/>
  <c r="N257" i="22"/>
  <c r="Q24" i="22"/>
  <c r="N24" i="22"/>
  <c r="AI24" i="22"/>
  <c r="AK49" i="22"/>
  <c r="AI82" i="22"/>
  <c r="L82" i="22"/>
  <c r="O82" i="22"/>
  <c r="R82" i="22"/>
  <c r="AL82" i="22"/>
  <c r="AE93" i="22"/>
  <c r="K188" i="22"/>
  <c r="N139" i="22"/>
  <c r="Q139" i="22"/>
  <c r="AK139" i="22"/>
  <c r="AI139" i="22"/>
  <c r="AK27" i="22"/>
  <c r="AI30" i="22"/>
  <c r="T36" i="22"/>
  <c r="S81" i="22"/>
  <c r="AA101" i="22"/>
  <c r="Z101" i="22"/>
  <c r="AE56" i="22"/>
  <c r="AB56" i="22"/>
  <c r="Q179" i="22"/>
  <c r="N179" i="22"/>
  <c r="AK179" i="22"/>
  <c r="AI179" i="22"/>
  <c r="N195" i="22"/>
  <c r="AI195" i="22"/>
  <c r="K195" i="22"/>
  <c r="AK195" i="22"/>
  <c r="K76" i="22"/>
  <c r="Q76" i="22"/>
  <c r="Y93" i="22"/>
  <c r="N93" i="22"/>
  <c r="Q93" i="22"/>
  <c r="T122" i="22"/>
  <c r="Y150" i="22"/>
  <c r="K179" i="22"/>
  <c r="K27" i="22"/>
  <c r="N75" i="22"/>
  <c r="Q75" i="22"/>
  <c r="T90" i="22"/>
  <c r="K93" i="22"/>
  <c r="AB11" i="22"/>
  <c r="W175" i="22"/>
  <c r="Y175" i="22" s="1"/>
  <c r="AK175" i="22"/>
  <c r="K175" i="22"/>
  <c r="AI175" i="22"/>
  <c r="Q175" i="22"/>
  <c r="AA175" i="22"/>
  <c r="N175" i="22"/>
  <c r="K26" i="22"/>
  <c r="S44" i="22"/>
  <c r="L69" i="22"/>
  <c r="R69" i="22"/>
  <c r="AL69" i="22"/>
  <c r="AI69" i="22"/>
  <c r="O69" i="22"/>
  <c r="N71" i="22"/>
  <c r="K71" i="22"/>
  <c r="Q71" i="22"/>
  <c r="Z104" i="22"/>
  <c r="AA104" i="22"/>
  <c r="N118" i="22"/>
  <c r="K118" i="22"/>
  <c r="AI118" i="22"/>
  <c r="Q118" i="22"/>
  <c r="AK118" i="22"/>
  <c r="T149" i="22"/>
  <c r="K174" i="22"/>
  <c r="N174" i="22"/>
  <c r="Q174" i="22"/>
  <c r="AI174" i="22"/>
  <c r="AI49" i="22"/>
  <c r="Y19" i="22"/>
  <c r="Q19" i="22"/>
  <c r="K21" i="22"/>
  <c r="AK21" i="22"/>
  <c r="AI21" i="22"/>
  <c r="N21" i="22"/>
  <c r="Q21" i="22"/>
  <c r="K24" i="22"/>
  <c r="AK30" i="22"/>
  <c r="Y34" i="22"/>
  <c r="N34" i="22"/>
  <c r="Q34" i="22"/>
  <c r="AF83" i="22"/>
  <c r="AB83" i="22"/>
  <c r="Z83" i="22"/>
  <c r="AA93" i="22"/>
  <c r="K97" i="22"/>
  <c r="Q97" i="22"/>
  <c r="N97" i="22"/>
  <c r="AA97" i="22"/>
  <c r="Y97" i="22"/>
  <c r="T133" i="22"/>
  <c r="Q180" i="22"/>
  <c r="K180" i="22"/>
  <c r="AA180" i="22"/>
  <c r="Y180" i="22"/>
  <c r="N171" i="22"/>
  <c r="AI171" i="22"/>
  <c r="AK171" i="22"/>
  <c r="K171" i="22"/>
  <c r="AE196" i="22"/>
  <c r="AB196" i="22"/>
  <c r="Y196" i="22"/>
  <c r="N8" i="22"/>
  <c r="K8" i="22"/>
  <c r="AI14" i="22"/>
  <c r="N14" i="22"/>
  <c r="K14" i="22"/>
  <c r="T77" i="22"/>
  <c r="Q112" i="22"/>
  <c r="AK112" i="22"/>
  <c r="AI112" i="22"/>
  <c r="T114" i="22"/>
  <c r="T121" i="22"/>
  <c r="K217" i="22"/>
  <c r="N217" i="22"/>
  <c r="Y217" i="22"/>
  <c r="Q217" i="22"/>
  <c r="AE217" i="22"/>
  <c r="O230" i="22"/>
  <c r="AI230" i="22"/>
  <c r="AL230" i="22"/>
  <c r="L230" i="22"/>
  <c r="T262" i="22"/>
  <c r="Q15" i="22"/>
  <c r="AK15" i="22"/>
  <c r="AI15" i="22"/>
  <c r="T18" i="22"/>
  <c r="AK42" i="22"/>
  <c r="AI42" i="22"/>
  <c r="S45" i="22"/>
  <c r="T70" i="22"/>
  <c r="O85" i="22"/>
  <c r="L85" i="22"/>
  <c r="T132" i="22"/>
  <c r="Q211" i="22"/>
  <c r="AK211" i="22"/>
  <c r="AI211" i="22"/>
  <c r="N237" i="22"/>
  <c r="K237" i="22"/>
  <c r="AI237" i="22"/>
  <c r="Y249" i="22"/>
  <c r="N249" i="22"/>
  <c r="AA249" i="22"/>
  <c r="Y255" i="22"/>
  <c r="T34" i="22"/>
  <c r="Q37" i="22"/>
  <c r="Y37" i="22"/>
  <c r="AE37" i="22"/>
  <c r="K37" i="22"/>
  <c r="K38" i="22"/>
  <c r="AK38" i="22"/>
  <c r="T76" i="22"/>
  <c r="Z81" i="22"/>
  <c r="AA81" i="22"/>
  <c r="AO85" i="22"/>
  <c r="S98" i="22"/>
  <c r="K112" i="22"/>
  <c r="Y125" i="22"/>
  <c r="Q125" i="22"/>
  <c r="AE125" i="22"/>
  <c r="Q150" i="22"/>
  <c r="AA150" i="22"/>
  <c r="N150" i="22"/>
  <c r="K150" i="22"/>
  <c r="Y156" i="22"/>
  <c r="Q156" i="22"/>
  <c r="N156" i="22"/>
  <c r="AA156" i="22"/>
  <c r="N157" i="22"/>
  <c r="K157" i="22"/>
  <c r="AI157" i="22"/>
  <c r="AK157" i="22"/>
  <c r="T172" i="22"/>
  <c r="K249" i="22"/>
  <c r="N250" i="22"/>
  <c r="AK250" i="22"/>
  <c r="AI250" i="22"/>
  <c r="Q250" i="22"/>
  <c r="Y194" i="22"/>
  <c r="AE194" i="22"/>
  <c r="T21" i="22"/>
  <c r="N43" i="22"/>
  <c r="K43" i="22"/>
  <c r="N57" i="22"/>
  <c r="AK57" i="22"/>
  <c r="Q58" i="22"/>
  <c r="K58" i="22"/>
  <c r="N58" i="22"/>
  <c r="AK58" i="22"/>
  <c r="AB100" i="22"/>
  <c r="Q145" i="22"/>
  <c r="K145" i="22"/>
  <c r="N145" i="22"/>
  <c r="T176" i="22"/>
  <c r="K211" i="22"/>
  <c r="AE255" i="22"/>
  <c r="AI152" i="22"/>
  <c r="K152" i="22"/>
  <c r="Q152" i="22"/>
  <c r="N152" i="22"/>
  <c r="T35" i="22"/>
  <c r="Q8" i="22"/>
  <c r="Q9" i="22"/>
  <c r="AI9" i="22"/>
  <c r="Y25" i="22"/>
  <c r="T26" i="22"/>
  <c r="K36" i="22"/>
  <c r="AA46" i="22"/>
  <c r="Z46" i="22"/>
  <c r="AE50" i="22"/>
  <c r="AB50" i="22"/>
  <c r="AF63" i="22"/>
  <c r="AB63" i="22"/>
  <c r="AE73" i="22"/>
  <c r="AB73" i="22"/>
  <c r="AB84" i="22"/>
  <c r="Z84" i="22"/>
  <c r="Q92" i="22"/>
  <c r="N112" i="22"/>
  <c r="Q171" i="22"/>
  <c r="Q198" i="22"/>
  <c r="N198" i="22"/>
  <c r="K198" i="22"/>
  <c r="AI198" i="22"/>
  <c r="K242" i="22"/>
  <c r="AI242" i="22"/>
  <c r="N242" i="22"/>
  <c r="AK242" i="22"/>
  <c r="K250" i="22"/>
  <c r="AI11" i="22"/>
  <c r="N33" i="22"/>
  <c r="K51" i="22"/>
  <c r="AK51" i="22"/>
  <c r="AF80" i="22"/>
  <c r="AE97" i="22"/>
  <c r="AB97" i="22"/>
  <c r="S106" i="22"/>
  <c r="N111" i="22"/>
  <c r="K121" i="22"/>
  <c r="Q121" i="22"/>
  <c r="N121" i="22"/>
  <c r="Q173" i="22"/>
  <c r="N173" i="22"/>
  <c r="AK173" i="22"/>
  <c r="Q190" i="22"/>
  <c r="N190" i="22"/>
  <c r="AI190" i="22"/>
  <c r="N193" i="22"/>
  <c r="K193" i="22"/>
  <c r="AI208" i="22"/>
  <c r="AK208" i="22"/>
  <c r="N212" i="22"/>
  <c r="K212" i="22"/>
  <c r="AA212" i="22"/>
  <c r="Y219" i="22"/>
  <c r="AE219" i="22"/>
  <c r="AB219" i="22"/>
  <c r="Z227" i="22"/>
  <c r="AB227" i="22"/>
  <c r="O62" i="22"/>
  <c r="AI62" i="22"/>
  <c r="Q96" i="22"/>
  <c r="N96" i="22"/>
  <c r="K96" i="22"/>
  <c r="AI149" i="22"/>
  <c r="Q149" i="22"/>
  <c r="K149" i="22"/>
  <c r="N199" i="22"/>
  <c r="K199" i="22"/>
  <c r="Q199" i="22"/>
  <c r="AK199" i="22"/>
  <c r="R223" i="22"/>
  <c r="AI223" i="22"/>
  <c r="O223" i="22"/>
  <c r="K72" i="22"/>
  <c r="N72" i="22"/>
  <c r="AA25" i="22"/>
  <c r="T64" i="22"/>
  <c r="Q94" i="22"/>
  <c r="AK94" i="22"/>
  <c r="Z100" i="22"/>
  <c r="T101" i="22"/>
  <c r="Z103" i="22"/>
  <c r="AF103" i="22"/>
  <c r="T113" i="22"/>
  <c r="L226" i="22"/>
  <c r="R226" i="22"/>
  <c r="AI226" i="22"/>
  <c r="AL226" i="22"/>
  <c r="K268" i="22"/>
  <c r="Q268" i="22"/>
  <c r="AK269" i="22"/>
  <c r="Q269" i="22"/>
  <c r="AI269" i="22"/>
  <c r="N269" i="22"/>
  <c r="W269" i="22"/>
  <c r="AA269" i="22"/>
  <c r="AK20" i="22"/>
  <c r="K25" i="22"/>
  <c r="AK35" i="22"/>
  <c r="AL44" i="22"/>
  <c r="AI55" i="22"/>
  <c r="AK134" i="22"/>
  <c r="Q134" i="22"/>
  <c r="AI134" i="22"/>
  <c r="N134" i="22"/>
  <c r="AA134" i="22"/>
  <c r="W134" i="22"/>
  <c r="AK136" i="22"/>
  <c r="Q136" i="22"/>
  <c r="AI136" i="22"/>
  <c r="N136" i="22"/>
  <c r="W136" i="22"/>
  <c r="T175" i="22"/>
  <c r="N183" i="22"/>
  <c r="K183" i="22"/>
  <c r="W183" i="22"/>
  <c r="Y183" i="22" s="1"/>
  <c r="AI183" i="22"/>
  <c r="Y206" i="22"/>
  <c r="AA206" i="22"/>
  <c r="AE212" i="22"/>
  <c r="AB212" i="22"/>
  <c r="T213" i="22"/>
  <c r="S232" i="22"/>
  <c r="AK33" i="22"/>
  <c r="AI41" i="22"/>
  <c r="AI45" i="22"/>
  <c r="AI89" i="22"/>
  <c r="L89" i="22"/>
  <c r="K94" i="22"/>
  <c r="K95" i="22"/>
  <c r="Q110" i="22"/>
  <c r="AA110" i="22"/>
  <c r="Y110" i="22"/>
  <c r="AI121" i="22"/>
  <c r="K182" i="22"/>
  <c r="Q204" i="22"/>
  <c r="AK204" i="22"/>
  <c r="AI204" i="22"/>
  <c r="K204" i="22"/>
  <c r="K206" i="22"/>
  <c r="S206" i="22" s="1"/>
  <c r="Q208" i="22"/>
  <c r="Y212" i="22"/>
  <c r="T217" i="22"/>
  <c r="L220" i="22"/>
  <c r="R220" i="22"/>
  <c r="AL220" i="22"/>
  <c r="AF222" i="22"/>
  <c r="T232" i="22"/>
  <c r="K233" i="22"/>
  <c r="K236" i="22"/>
  <c r="N239" i="22"/>
  <c r="K239" i="22"/>
  <c r="AI239" i="22"/>
  <c r="Q243" i="22"/>
  <c r="Y243" i="22"/>
  <c r="N243" i="22"/>
  <c r="N254" i="22"/>
  <c r="K254" i="22"/>
  <c r="K269" i="22"/>
  <c r="Q270" i="22"/>
  <c r="K270" i="22"/>
  <c r="AI270" i="22"/>
  <c r="Q36" i="22"/>
  <c r="AI36" i="22"/>
  <c r="Y56" i="22"/>
  <c r="N56" i="22"/>
  <c r="L62" i="22"/>
  <c r="N73" i="22"/>
  <c r="R74" i="22"/>
  <c r="AL74" i="22"/>
  <c r="S100" i="22"/>
  <c r="AI111" i="22"/>
  <c r="AK121" i="22"/>
  <c r="K134" i="22"/>
  <c r="Q135" i="22"/>
  <c r="N135" i="22"/>
  <c r="AI135" i="22"/>
  <c r="K136" i="22"/>
  <c r="N149" i="22"/>
  <c r="T179" i="22"/>
  <c r="AE180" i="22"/>
  <c r="Q186" i="22"/>
  <c r="AI186" i="22"/>
  <c r="N186" i="22"/>
  <c r="N187" i="22"/>
  <c r="K187" i="22"/>
  <c r="AK190" i="22"/>
  <c r="AI193" i="22"/>
  <c r="T208" i="22"/>
  <c r="Z231" i="22"/>
  <c r="N268" i="22"/>
  <c r="L65" i="22"/>
  <c r="S84" i="22"/>
  <c r="T216" i="22"/>
  <c r="S66" i="22"/>
  <c r="AO86" i="22"/>
  <c r="L86" i="22"/>
  <c r="T125" i="22"/>
  <c r="N218" i="22"/>
  <c r="K218" i="22"/>
  <c r="N228" i="22"/>
  <c r="K228" i="22"/>
  <c r="AI228" i="22"/>
  <c r="T239" i="22"/>
  <c r="K245" i="22"/>
  <c r="N245" i="22"/>
  <c r="T264" i="22"/>
  <c r="N92" i="22"/>
  <c r="AI105" i="22"/>
  <c r="T152" i="22"/>
  <c r="Q182" i="22"/>
  <c r="Q188" i="22"/>
  <c r="T190" i="22"/>
  <c r="K207" i="22"/>
  <c r="AK207" i="22"/>
  <c r="S223" i="22"/>
  <c r="T227" i="22"/>
  <c r="Q262" i="22"/>
  <c r="AI262" i="22"/>
  <c r="Q263" i="22"/>
  <c r="N263" i="22"/>
  <c r="AE263" i="22"/>
  <c r="Q109" i="22"/>
  <c r="Q133" i="22"/>
  <c r="T181" i="22"/>
  <c r="AE187" i="22"/>
  <c r="AB187" i="22"/>
  <c r="K248" i="22"/>
  <c r="Q248" i="22"/>
  <c r="T254" i="22"/>
  <c r="T255" i="22"/>
  <c r="AK265" i="22"/>
  <c r="Q265" i="22"/>
  <c r="AI265" i="22"/>
  <c r="T268" i="22"/>
  <c r="Q271" i="22"/>
  <c r="N271" i="22"/>
  <c r="AE271" i="22"/>
  <c r="AK236" i="22"/>
  <c r="Y122" i="22"/>
  <c r="AI216" i="22"/>
  <c r="Z221" i="22"/>
  <c r="AK256" i="22"/>
  <c r="T208" i="21"/>
  <c r="AI212" i="21"/>
  <c r="AF228" i="21"/>
  <c r="N234" i="21"/>
  <c r="N265" i="21"/>
  <c r="Q229" i="21"/>
  <c r="T230" i="21"/>
  <c r="N243" i="21"/>
  <c r="Q230" i="21"/>
  <c r="AE230" i="21"/>
  <c r="N246" i="21"/>
  <c r="N186" i="21"/>
  <c r="AA266" i="21"/>
  <c r="K189" i="21"/>
  <c r="K229" i="21"/>
  <c r="AI246" i="21"/>
  <c r="AK252" i="21"/>
  <c r="T240" i="21"/>
  <c r="AI243" i="21"/>
  <c r="T166" i="21"/>
  <c r="Q209" i="21"/>
  <c r="Y230" i="21"/>
  <c r="AA230" i="21"/>
  <c r="K230" i="21"/>
  <c r="AB230" i="21"/>
  <c r="T165" i="21"/>
  <c r="T182" i="21"/>
  <c r="T222" i="21"/>
  <c r="T214" i="21"/>
  <c r="Q185" i="21"/>
  <c r="T264" i="21"/>
  <c r="K154" i="21"/>
  <c r="T175" i="21"/>
  <c r="T179" i="21"/>
  <c r="T266" i="21"/>
  <c r="T128" i="21"/>
  <c r="T249" i="21"/>
  <c r="Q60" i="21"/>
  <c r="L65" i="21"/>
  <c r="K177" i="21"/>
  <c r="T212" i="21"/>
  <c r="Q257" i="21"/>
  <c r="K206" i="21"/>
  <c r="L227" i="21"/>
  <c r="T190" i="21"/>
  <c r="Z232" i="21"/>
  <c r="N209" i="21"/>
  <c r="Q174" i="21"/>
  <c r="Q186" i="21"/>
  <c r="T219" i="21"/>
  <c r="AO224" i="21"/>
  <c r="R227" i="21"/>
  <c r="O229" i="21"/>
  <c r="Q245" i="21"/>
  <c r="Q255" i="21"/>
  <c r="R42" i="21"/>
  <c r="Q176" i="21"/>
  <c r="AI196" i="21"/>
  <c r="N205" i="21"/>
  <c r="S227" i="21"/>
  <c r="T245" i="21"/>
  <c r="AI206" i="21"/>
  <c r="AE218" i="21"/>
  <c r="Q234" i="21"/>
  <c r="T215" i="21"/>
  <c r="N196" i="21"/>
  <c r="T197" i="21"/>
  <c r="K209" i="21"/>
  <c r="L229" i="21"/>
  <c r="T206" i="21"/>
  <c r="S222" i="21"/>
  <c r="AF232" i="21"/>
  <c r="AF233" i="21"/>
  <c r="T269" i="21"/>
  <c r="N179" i="21"/>
  <c r="T223" i="21"/>
  <c r="Z233" i="21"/>
  <c r="AI209" i="21"/>
  <c r="Q144" i="21"/>
  <c r="T148" i="21"/>
  <c r="AI160" i="21"/>
  <c r="N142" i="21"/>
  <c r="AI170" i="21"/>
  <c r="N184" i="21"/>
  <c r="AI185" i="21"/>
  <c r="AK186" i="21"/>
  <c r="AB233" i="21"/>
  <c r="AI234" i="21"/>
  <c r="T239" i="21"/>
  <c r="AK240" i="21"/>
  <c r="Q243" i="21"/>
  <c r="Q250" i="21"/>
  <c r="AI255" i="21"/>
  <c r="K257" i="21"/>
  <c r="T260" i="21"/>
  <c r="K219" i="21"/>
  <c r="N207" i="21"/>
  <c r="AI227" i="21"/>
  <c r="AI245" i="21"/>
  <c r="AI167" i="21"/>
  <c r="Q198" i="21"/>
  <c r="AE166" i="21"/>
  <c r="AI186" i="21"/>
  <c r="T176" i="21"/>
  <c r="Q179" i="21"/>
  <c r="T205" i="21"/>
  <c r="Y239" i="21"/>
  <c r="T250" i="21"/>
  <c r="AK201" i="20"/>
  <c r="T209" i="21"/>
  <c r="AK209" i="21"/>
  <c r="L92" i="21"/>
  <c r="AL92" i="21"/>
  <c r="Q138" i="21"/>
  <c r="T153" i="21"/>
  <c r="T184" i="21"/>
  <c r="N149" i="21"/>
  <c r="AI149" i="21"/>
  <c r="N217" i="21"/>
  <c r="AK237" i="21"/>
  <c r="K237" i="21"/>
  <c r="AI237" i="21"/>
  <c r="Q237" i="21"/>
  <c r="Q269" i="21"/>
  <c r="K269" i="21"/>
  <c r="K192" i="21"/>
  <c r="W192" i="21"/>
  <c r="AE192" i="21" s="1"/>
  <c r="K205" i="21"/>
  <c r="S223" i="21"/>
  <c r="K132" i="21"/>
  <c r="AK132" i="21"/>
  <c r="AI132" i="21"/>
  <c r="T183" i="21"/>
  <c r="N177" i="21"/>
  <c r="AI177" i="21"/>
  <c r="T198" i="21"/>
  <c r="N201" i="21"/>
  <c r="AA201" i="21"/>
  <c r="Q206" i="21"/>
  <c r="T220" i="21"/>
  <c r="T263" i="21"/>
  <c r="Q272" i="21"/>
  <c r="AA272" i="21"/>
  <c r="W165" i="21"/>
  <c r="T170" i="21"/>
  <c r="K190" i="21"/>
  <c r="K213" i="21"/>
  <c r="Q213" i="21"/>
  <c r="S233" i="21"/>
  <c r="N237" i="21"/>
  <c r="T238" i="21"/>
  <c r="AK263" i="21"/>
  <c r="N269" i="21"/>
  <c r="Q169" i="21"/>
  <c r="AA175" i="21"/>
  <c r="Q175" i="21"/>
  <c r="N175" i="21"/>
  <c r="AK189" i="21"/>
  <c r="AI189" i="21"/>
  <c r="K218" i="21"/>
  <c r="N218" i="21"/>
  <c r="K265" i="21"/>
  <c r="AK265" i="21"/>
  <c r="T192" i="21"/>
  <c r="N132" i="21"/>
  <c r="N160" i="21"/>
  <c r="Q164" i="21"/>
  <c r="AA165" i="21"/>
  <c r="T169" i="21"/>
  <c r="K175" i="21"/>
  <c r="T186" i="21"/>
  <c r="N190" i="21"/>
  <c r="T191" i="21"/>
  <c r="Q205" i="21"/>
  <c r="N213" i="21"/>
  <c r="Z222" i="21"/>
  <c r="AA222" i="21"/>
  <c r="Z223" i="21"/>
  <c r="T178" i="21"/>
  <c r="AK260" i="21"/>
  <c r="N260" i="21"/>
  <c r="AI126" i="21"/>
  <c r="N126" i="21"/>
  <c r="AA215" i="21"/>
  <c r="AI224" i="21"/>
  <c r="R224" i="21"/>
  <c r="O224" i="21"/>
  <c r="AI144" i="21"/>
  <c r="AK144" i="21"/>
  <c r="Q165" i="21"/>
  <c r="K215" i="21"/>
  <c r="K260" i="21"/>
  <c r="AI158" i="21"/>
  <c r="AE169" i="21"/>
  <c r="AI164" i="21"/>
  <c r="N164" i="21"/>
  <c r="AE197" i="21"/>
  <c r="Y244" i="21"/>
  <c r="N244" i="21"/>
  <c r="AI260" i="21"/>
  <c r="AE128" i="21"/>
  <c r="Q132" i="21"/>
  <c r="Q170" i="21"/>
  <c r="AL229" i="21"/>
  <c r="R229" i="21"/>
  <c r="R231" i="21"/>
  <c r="O231" i="21"/>
  <c r="K244" i="21"/>
  <c r="W266" i="21"/>
  <c r="Y266" i="21" s="1"/>
  <c r="Q167" i="21"/>
  <c r="AI176" i="21"/>
  <c r="T185" i="21"/>
  <c r="N189" i="21"/>
  <c r="AI214" i="21"/>
  <c r="T218" i="21"/>
  <c r="S228" i="21"/>
  <c r="T234" i="21"/>
  <c r="T265" i="21"/>
  <c r="AK205" i="21"/>
  <c r="AI205" i="21"/>
  <c r="T159" i="21"/>
  <c r="Z228" i="21"/>
  <c r="AB228" i="21"/>
  <c r="N165" i="21"/>
  <c r="K165" i="21"/>
  <c r="T168" i="21"/>
  <c r="AB175" i="21"/>
  <c r="AE175" i="21"/>
  <c r="AK176" i="21"/>
  <c r="AK251" i="21"/>
  <c r="N251" i="21"/>
  <c r="T252" i="21"/>
  <c r="Q182" i="21"/>
  <c r="Q189" i="21"/>
  <c r="T217" i="21"/>
  <c r="T272" i="21"/>
  <c r="Q177" i="21"/>
  <c r="AF223" i="21"/>
  <c r="Q136" i="21"/>
  <c r="T149" i="21"/>
  <c r="T177" i="21"/>
  <c r="AE183" i="21"/>
  <c r="K186" i="21"/>
  <c r="N174" i="21"/>
  <c r="T213" i="21"/>
  <c r="K246" i="21"/>
  <c r="N250" i="21"/>
  <c r="K271" i="21"/>
  <c r="K124" i="21"/>
  <c r="T152" i="21"/>
  <c r="Q158" i="21"/>
  <c r="T167" i="21"/>
  <c r="K179" i="21"/>
  <c r="N208" i="21"/>
  <c r="Q212" i="21"/>
  <c r="N220" i="21"/>
  <c r="S231" i="21"/>
  <c r="T251" i="21"/>
  <c r="Q260" i="21"/>
  <c r="T271" i="21"/>
  <c r="Q246" i="21"/>
  <c r="T270" i="21"/>
  <c r="AE125" i="21"/>
  <c r="Q168" i="21"/>
  <c r="AI174" i="21"/>
  <c r="W186" i="21"/>
  <c r="AB186" i="21" s="1"/>
  <c r="T207" i="21"/>
  <c r="O227" i="21"/>
  <c r="K243" i="21"/>
  <c r="Y250" i="21"/>
  <c r="AA192" i="21"/>
  <c r="N192" i="21"/>
  <c r="AI192" i="21"/>
  <c r="Q192" i="21"/>
  <c r="AK192" i="21"/>
  <c r="K191" i="21"/>
  <c r="Q256" i="21"/>
  <c r="N256" i="21"/>
  <c r="AE264" i="21"/>
  <c r="AB264" i="21"/>
  <c r="AI193" i="21"/>
  <c r="Q193" i="21"/>
  <c r="K199" i="21"/>
  <c r="K256" i="21"/>
  <c r="Y264" i="21"/>
  <c r="K208" i="21"/>
  <c r="AE215" i="21"/>
  <c r="AB215" i="21"/>
  <c r="T228" i="21"/>
  <c r="Q249" i="21"/>
  <c r="N249" i="21"/>
  <c r="K255" i="21"/>
  <c r="K193" i="21"/>
  <c r="N198" i="21"/>
  <c r="Y215" i="21"/>
  <c r="T233" i="21"/>
  <c r="T244" i="21"/>
  <c r="Q252" i="21"/>
  <c r="N252" i="21"/>
  <c r="K259" i="21"/>
  <c r="T189" i="21"/>
  <c r="N191" i="21"/>
  <c r="Y197" i="21"/>
  <c r="T199" i="21"/>
  <c r="K201" i="21"/>
  <c r="AE207" i="21"/>
  <c r="AB207" i="21"/>
  <c r="Q214" i="21"/>
  <c r="N214" i="21"/>
  <c r="AI219" i="21"/>
  <c r="AE220" i="21"/>
  <c r="AB220" i="21"/>
  <c r="Q238" i="21"/>
  <c r="N238" i="21"/>
  <c r="T243" i="21"/>
  <c r="K249" i="21"/>
  <c r="AI251" i="21"/>
  <c r="Q251" i="21"/>
  <c r="N255" i="21"/>
  <c r="T256" i="21"/>
  <c r="AI269" i="21"/>
  <c r="AE270" i="21"/>
  <c r="AB270" i="21"/>
  <c r="Y190" i="21"/>
  <c r="N193" i="21"/>
  <c r="N200" i="21"/>
  <c r="Y207" i="21"/>
  <c r="Y220" i="21"/>
  <c r="AI240" i="21"/>
  <c r="Q240" i="21"/>
  <c r="K252" i="21"/>
  <c r="T255" i="21"/>
  <c r="N259" i="21"/>
  <c r="Q263" i="21"/>
  <c r="N263" i="21"/>
  <c r="AK269" i="21"/>
  <c r="Y270" i="21"/>
  <c r="AE272" i="21"/>
  <c r="AB272" i="21"/>
  <c r="T193" i="21"/>
  <c r="Y199" i="21"/>
  <c r="Q208" i="21"/>
  <c r="K214" i="21"/>
  <c r="S221" i="21"/>
  <c r="S232" i="21"/>
  <c r="K238" i="21"/>
  <c r="AA244" i="21"/>
  <c r="T246" i="21"/>
  <c r="K251" i="21"/>
  <c r="Y256" i="21"/>
  <c r="T259" i="21"/>
  <c r="AI265" i="21"/>
  <c r="Q265" i="21"/>
  <c r="AK266" i="21"/>
  <c r="Q266" i="21"/>
  <c r="AI266" i="21"/>
  <c r="N266" i="21"/>
  <c r="K266" i="21"/>
  <c r="AI271" i="21"/>
  <c r="Y272" i="21"/>
  <c r="AA190" i="21"/>
  <c r="Q191" i="21"/>
  <c r="Q196" i="21"/>
  <c r="AB197" i="21"/>
  <c r="T201" i="21"/>
  <c r="N206" i="21"/>
  <c r="AI217" i="21"/>
  <c r="Q217" i="21"/>
  <c r="S224" i="21"/>
  <c r="T232" i="21"/>
  <c r="K240" i="21"/>
  <c r="K263" i="21"/>
  <c r="R221" i="21"/>
  <c r="O221" i="21"/>
  <c r="T196" i="21"/>
  <c r="Q197" i="21"/>
  <c r="N197" i="21"/>
  <c r="Q200" i="21"/>
  <c r="Q219" i="21"/>
  <c r="N219" i="21"/>
  <c r="AI221" i="21"/>
  <c r="AA256" i="21"/>
  <c r="AE190" i="21"/>
  <c r="K196" i="21"/>
  <c r="K197" i="21"/>
  <c r="T200" i="21"/>
  <c r="AI208" i="21"/>
  <c r="K217" i="21"/>
  <c r="AF222" i="21"/>
  <c r="AB222" i="21"/>
  <c r="T257" i="21"/>
  <c r="AK270" i="21"/>
  <c r="Q270" i="21"/>
  <c r="AI270" i="21"/>
  <c r="N270" i="21"/>
  <c r="K270" i="21"/>
  <c r="AA270" i="21"/>
  <c r="Q199" i="21"/>
  <c r="N199" i="21"/>
  <c r="W201" i="21"/>
  <c r="Y201" i="21" s="1"/>
  <c r="AK201" i="21"/>
  <c r="Q201" i="21"/>
  <c r="AI201" i="21"/>
  <c r="AK193" i="21"/>
  <c r="AE199" i="21"/>
  <c r="AK208" i="21"/>
  <c r="AL221" i="21"/>
  <c r="AE256" i="21"/>
  <c r="Q271" i="21"/>
  <c r="N271" i="21"/>
  <c r="K198" i="21"/>
  <c r="W259" i="21"/>
  <c r="AK259" i="21"/>
  <c r="Q259" i="21"/>
  <c r="AI259" i="21"/>
  <c r="K200" i="21"/>
  <c r="AI200" i="21"/>
  <c r="L221" i="21"/>
  <c r="T237" i="21"/>
  <c r="AE239" i="21"/>
  <c r="AB239" i="21"/>
  <c r="N245" i="21"/>
  <c r="K245" i="21"/>
  <c r="AI249" i="21"/>
  <c r="AA207" i="21"/>
  <c r="AK212" i="21"/>
  <c r="AA220" i="21"/>
  <c r="AK234" i="21"/>
  <c r="AA239" i="21"/>
  <c r="AA264" i="21"/>
  <c r="AI191" i="21"/>
  <c r="K207" i="21"/>
  <c r="Y218" i="21"/>
  <c r="K220" i="21"/>
  <c r="K239" i="21"/>
  <c r="AA250" i="21"/>
  <c r="K264" i="21"/>
  <c r="K272" i="21"/>
  <c r="K212" i="21"/>
  <c r="Y213" i="21"/>
  <c r="K234" i="21"/>
  <c r="AI257" i="21"/>
  <c r="AA218" i="21"/>
  <c r="N239" i="21"/>
  <c r="AK257" i="21"/>
  <c r="N264" i="21"/>
  <c r="N272" i="21"/>
  <c r="AA213" i="21"/>
  <c r="AB218" i="21"/>
  <c r="T174" i="21"/>
  <c r="AE178" i="21"/>
  <c r="AB178" i="21"/>
  <c r="Y178" i="21"/>
  <c r="N178" i="21"/>
  <c r="AA178" i="21"/>
  <c r="AK182" i="21"/>
  <c r="K178" i="21"/>
  <c r="K182" i="21"/>
  <c r="Y183" i="21"/>
  <c r="AI178" i="21"/>
  <c r="N182" i="21"/>
  <c r="AA183" i="21"/>
  <c r="K185" i="21"/>
  <c r="AK174" i="21"/>
  <c r="K176" i="21"/>
  <c r="Q178" i="21"/>
  <c r="AK178" i="21"/>
  <c r="K183" i="21"/>
  <c r="AB183" i="21"/>
  <c r="N185" i="21"/>
  <c r="K174" i="21"/>
  <c r="Y175" i="21"/>
  <c r="N176" i="21"/>
  <c r="AI179" i="21"/>
  <c r="N183" i="21"/>
  <c r="AA186" i="21"/>
  <c r="AK185" i="21"/>
  <c r="Q184" i="21"/>
  <c r="AI184" i="21"/>
  <c r="K184" i="21"/>
  <c r="AK179" i="21"/>
  <c r="T164" i="21"/>
  <c r="K167" i="21"/>
  <c r="T138" i="21"/>
  <c r="Y166" i="21"/>
  <c r="N167" i="21"/>
  <c r="AK168" i="21"/>
  <c r="K170" i="21"/>
  <c r="AA166" i="21"/>
  <c r="K168" i="21"/>
  <c r="Y169" i="21"/>
  <c r="N170" i="21"/>
  <c r="AK164" i="21"/>
  <c r="K166" i="21"/>
  <c r="AB166" i="21"/>
  <c r="N168" i="21"/>
  <c r="AA169" i="21"/>
  <c r="T139" i="21"/>
  <c r="K164" i="21"/>
  <c r="N166" i="21"/>
  <c r="K169" i="21"/>
  <c r="AB169" i="21"/>
  <c r="T136" i="21"/>
  <c r="T144" i="21"/>
  <c r="AI136" i="21"/>
  <c r="T155" i="21"/>
  <c r="T132" i="21"/>
  <c r="Q143" i="21"/>
  <c r="N154" i="21"/>
  <c r="N143" i="21"/>
  <c r="Y139" i="21"/>
  <c r="T143" i="21"/>
  <c r="T158" i="21"/>
  <c r="AI143" i="21"/>
  <c r="Q154" i="21"/>
  <c r="N161" i="21"/>
  <c r="Q142" i="21"/>
  <c r="T154" i="21"/>
  <c r="N127" i="21"/>
  <c r="T137" i="21"/>
  <c r="T142" i="21"/>
  <c r="AI154" i="21"/>
  <c r="Q161" i="21"/>
  <c r="N124" i="21"/>
  <c r="W137" i="21"/>
  <c r="Y137" i="21" s="1"/>
  <c r="AI138" i="21"/>
  <c r="AI142" i="21"/>
  <c r="K144" i="21"/>
  <c r="Q148" i="21"/>
  <c r="Y159" i="21"/>
  <c r="T161" i="21"/>
  <c r="AK142" i="21"/>
  <c r="Q160" i="21"/>
  <c r="AI161" i="21"/>
  <c r="Q52" i="21"/>
  <c r="Q58" i="21"/>
  <c r="AA139" i="21"/>
  <c r="N144" i="21"/>
  <c r="Q149" i="21"/>
  <c r="K158" i="21"/>
  <c r="T160" i="21"/>
  <c r="T135" i="21"/>
  <c r="Q135" i="21"/>
  <c r="AK152" i="21"/>
  <c r="AK155" i="21"/>
  <c r="AK138" i="21"/>
  <c r="K152" i="21"/>
  <c r="Y153" i="21"/>
  <c r="K155" i="21"/>
  <c r="AK148" i="21"/>
  <c r="K138" i="21"/>
  <c r="AA153" i="21"/>
  <c r="N155" i="21"/>
  <c r="K148" i="21"/>
  <c r="AK149" i="21"/>
  <c r="N138" i="21"/>
  <c r="K139" i="21"/>
  <c r="AB139" i="21"/>
  <c r="N136" i="21"/>
  <c r="K137" i="21"/>
  <c r="AE139" i="21"/>
  <c r="K142" i="21"/>
  <c r="AK143" i="21"/>
  <c r="N148" i="21"/>
  <c r="K149" i="21"/>
  <c r="Q152" i="21"/>
  <c r="N153" i="21"/>
  <c r="Q155" i="21"/>
  <c r="N152" i="21"/>
  <c r="K136" i="21"/>
  <c r="N135" i="21"/>
  <c r="N139" i="21"/>
  <c r="K160" i="21"/>
  <c r="K153" i="21"/>
  <c r="Q159" i="21"/>
  <c r="N137" i="21"/>
  <c r="AI139" i="21"/>
  <c r="K143" i="21"/>
  <c r="AK154" i="21"/>
  <c r="AK158" i="21"/>
  <c r="AK161" i="21"/>
  <c r="AA159" i="21"/>
  <c r="N159" i="21"/>
  <c r="K135" i="21"/>
  <c r="AA137" i="21"/>
  <c r="AI137" i="21"/>
  <c r="Q139" i="21"/>
  <c r="AK139" i="21"/>
  <c r="K159" i="21"/>
  <c r="AK135" i="21"/>
  <c r="Q137" i="21"/>
  <c r="Y128" i="21"/>
  <c r="AA128" i="21"/>
  <c r="K128" i="21"/>
  <c r="AB128" i="21"/>
  <c r="N128" i="21"/>
  <c r="K125" i="21"/>
  <c r="AE113" i="21"/>
  <c r="Y125" i="21"/>
  <c r="N125" i="21"/>
  <c r="AI127" i="21"/>
  <c r="Q124" i="21"/>
  <c r="Q126" i="21"/>
  <c r="Q125" i="21"/>
  <c r="T127" i="21"/>
  <c r="T125" i="21"/>
  <c r="N39" i="21"/>
  <c r="R45" i="21"/>
  <c r="T124" i="21"/>
  <c r="AB125" i="21"/>
  <c r="T126" i="21"/>
  <c r="Q127" i="21"/>
  <c r="K127" i="21"/>
  <c r="AK126" i="21"/>
  <c r="AK124" i="21"/>
  <c r="AK127" i="21"/>
  <c r="K126" i="21"/>
  <c r="T99" i="21"/>
  <c r="N98" i="21"/>
  <c r="AI88" i="21"/>
  <c r="K98" i="21"/>
  <c r="Z93" i="21"/>
  <c r="S87" i="21"/>
  <c r="AF73" i="21"/>
  <c r="AI81" i="21"/>
  <c r="S81" i="21"/>
  <c r="AF63" i="21"/>
  <c r="K114" i="21"/>
  <c r="N113" i="21"/>
  <c r="AI75" i="21"/>
  <c r="N79" i="21"/>
  <c r="Q117" i="21"/>
  <c r="AK112" i="21"/>
  <c r="AE117" i="21"/>
  <c r="T83" i="21"/>
  <c r="R46" i="21"/>
  <c r="T63" i="21"/>
  <c r="K115" i="21"/>
  <c r="S67" i="21"/>
  <c r="AI77" i="21"/>
  <c r="L88" i="21"/>
  <c r="T100" i="21"/>
  <c r="T64" i="21"/>
  <c r="AF64" i="21"/>
  <c r="AF67" i="21"/>
  <c r="Y76" i="21"/>
  <c r="AI85" i="21"/>
  <c r="O88" i="21"/>
  <c r="AF103" i="21"/>
  <c r="S107" i="21"/>
  <c r="S88" i="21"/>
  <c r="S104" i="21"/>
  <c r="T117" i="21"/>
  <c r="T74" i="21"/>
  <c r="T87" i="21"/>
  <c r="R88" i="21"/>
  <c r="Y96" i="21"/>
  <c r="AI115" i="21"/>
  <c r="S83" i="21"/>
  <c r="AE80" i="21"/>
  <c r="S66" i="21"/>
  <c r="T86" i="21"/>
  <c r="T66" i="21"/>
  <c r="Q76" i="21"/>
  <c r="T84" i="21"/>
  <c r="S64" i="21"/>
  <c r="S103" i="21"/>
  <c r="Q54" i="21"/>
  <c r="Z104" i="21"/>
  <c r="T67" i="21"/>
  <c r="T76" i="21"/>
  <c r="S84" i="21"/>
  <c r="AF66" i="21"/>
  <c r="S72" i="21"/>
  <c r="K75" i="21"/>
  <c r="Q75" i="21"/>
  <c r="AB76" i="21"/>
  <c r="AE76" i="21"/>
  <c r="N97" i="21"/>
  <c r="AI97" i="21"/>
  <c r="AO109" i="21"/>
  <c r="R109" i="21"/>
  <c r="O109" i="21"/>
  <c r="AI94" i="21"/>
  <c r="N94" i="21"/>
  <c r="K94" i="21"/>
  <c r="AI92" i="21"/>
  <c r="O92" i="21"/>
  <c r="Q121" i="21"/>
  <c r="AK121" i="21"/>
  <c r="AI121" i="21"/>
  <c r="L46" i="21"/>
  <c r="S89" i="21"/>
  <c r="L105" i="21"/>
  <c r="AI105" i="21"/>
  <c r="O105" i="21"/>
  <c r="S106" i="21"/>
  <c r="Q39" i="21"/>
  <c r="O46" i="21"/>
  <c r="AL45" i="21"/>
  <c r="O45" i="21"/>
  <c r="L45" i="21"/>
  <c r="Q50" i="21"/>
  <c r="K74" i="21"/>
  <c r="AI74" i="21"/>
  <c r="N74" i="21"/>
  <c r="T103" i="21"/>
  <c r="AI37" i="21"/>
  <c r="AK37" i="21"/>
  <c r="AO69" i="21"/>
  <c r="R69" i="21"/>
  <c r="AA113" i="21"/>
  <c r="Y113" i="21"/>
  <c r="S73" i="21"/>
  <c r="T104" i="21"/>
  <c r="K113" i="21"/>
  <c r="Q34" i="21"/>
  <c r="T73" i="21"/>
  <c r="AL101" i="21"/>
  <c r="AI101" i="21"/>
  <c r="O101" i="21"/>
  <c r="L101" i="21"/>
  <c r="T113" i="21"/>
  <c r="T115" i="21"/>
  <c r="S86" i="21"/>
  <c r="S93" i="21"/>
  <c r="T106" i="21"/>
  <c r="K112" i="21"/>
  <c r="AF87" i="21"/>
  <c r="S102" i="21"/>
  <c r="T93" i="21"/>
  <c r="Q98" i="21"/>
  <c r="T80" i="21"/>
  <c r="R92" i="21"/>
  <c r="T98" i="21"/>
  <c r="AB104" i="21"/>
  <c r="R105" i="21"/>
  <c r="T121" i="21"/>
  <c r="AI72" i="21"/>
  <c r="AB73" i="21"/>
  <c r="T78" i="21"/>
  <c r="N80" i="21"/>
  <c r="L81" i="21"/>
  <c r="AF83" i="21"/>
  <c r="S85" i="21"/>
  <c r="S92" i="21"/>
  <c r="Q94" i="21"/>
  <c r="Q97" i="21"/>
  <c r="R101" i="21"/>
  <c r="S105" i="21"/>
  <c r="T107" i="21"/>
  <c r="K117" i="21"/>
  <c r="N54" i="21"/>
  <c r="K78" i="21"/>
  <c r="T96" i="21"/>
  <c r="T97" i="21"/>
  <c r="Q99" i="21"/>
  <c r="S101" i="21"/>
  <c r="AF104" i="21"/>
  <c r="AF106" i="21"/>
  <c r="S109" i="21"/>
  <c r="AB113" i="21"/>
  <c r="Q36" i="21"/>
  <c r="Q44" i="21"/>
  <c r="AK52" i="21"/>
  <c r="S63" i="21"/>
  <c r="Z73" i="21"/>
  <c r="S77" i="21"/>
  <c r="Q80" i="21"/>
  <c r="Z84" i="21"/>
  <c r="Z107" i="21"/>
  <c r="S108" i="21"/>
  <c r="K121" i="21"/>
  <c r="N121" i="21"/>
  <c r="Y117" i="21"/>
  <c r="AA117" i="21"/>
  <c r="AB117" i="21"/>
  <c r="T114" i="21"/>
  <c r="N114" i="21"/>
  <c r="T112" i="21"/>
  <c r="N112" i="21"/>
  <c r="Q114" i="21"/>
  <c r="N115" i="21"/>
  <c r="Q112" i="21"/>
  <c r="Q115" i="21"/>
  <c r="AI114" i="21"/>
  <c r="AK114" i="21"/>
  <c r="T95" i="21"/>
  <c r="AI95" i="21"/>
  <c r="K95" i="21"/>
  <c r="T94" i="21"/>
  <c r="AA93" i="21"/>
  <c r="AA96" i="21"/>
  <c r="Z103" i="21"/>
  <c r="N95" i="21"/>
  <c r="K99" i="21"/>
  <c r="AE96" i="21"/>
  <c r="AA100" i="21"/>
  <c r="AB103" i="21"/>
  <c r="K100" i="21"/>
  <c r="AE100" i="21"/>
  <c r="T51" i="21"/>
  <c r="Q96" i="21"/>
  <c r="AK97" i="21"/>
  <c r="N100" i="21"/>
  <c r="AB107" i="21"/>
  <c r="AK99" i="21"/>
  <c r="AL102" i="21"/>
  <c r="AF93" i="21"/>
  <c r="N99" i="21"/>
  <c r="Q59" i="21"/>
  <c r="AK94" i="21"/>
  <c r="R102" i="21"/>
  <c r="AL105" i="21"/>
  <c r="O108" i="21"/>
  <c r="Y100" i="21"/>
  <c r="L102" i="21"/>
  <c r="AI108" i="21"/>
  <c r="N96" i="21"/>
  <c r="Q95" i="21"/>
  <c r="AO108" i="21"/>
  <c r="AE51" i="21"/>
  <c r="K97" i="21"/>
  <c r="AI98" i="21"/>
  <c r="Z106" i="21"/>
  <c r="AF107" i="21"/>
  <c r="AI109" i="21"/>
  <c r="N59" i="21"/>
  <c r="AE59" i="21"/>
  <c r="R108" i="21"/>
  <c r="O102" i="21"/>
  <c r="L109" i="21"/>
  <c r="S82" i="21"/>
  <c r="Q79" i="21"/>
  <c r="T79" i="21"/>
  <c r="AK78" i="21"/>
  <c r="T75" i="21"/>
  <c r="AL72" i="21"/>
  <c r="AA87" i="21"/>
  <c r="AA73" i="21"/>
  <c r="O77" i="21"/>
  <c r="O85" i="21"/>
  <c r="AK79" i="21"/>
  <c r="AL82" i="21"/>
  <c r="AF86" i="21"/>
  <c r="O89" i="21"/>
  <c r="O72" i="21"/>
  <c r="AA76" i="21"/>
  <c r="N78" i="21"/>
  <c r="Y80" i="21"/>
  <c r="O81" i="21"/>
  <c r="Z83" i="21"/>
  <c r="AF84" i="21"/>
  <c r="Q74" i="21"/>
  <c r="N75" i="21"/>
  <c r="K76" i="21"/>
  <c r="R77" i="21"/>
  <c r="K79" i="21"/>
  <c r="L82" i="21"/>
  <c r="R85" i="21"/>
  <c r="R89" i="21"/>
  <c r="AA80" i="21"/>
  <c r="R72" i="21"/>
  <c r="Q78" i="21"/>
  <c r="R81" i="21"/>
  <c r="O82" i="21"/>
  <c r="Z87" i="21"/>
  <c r="AK74" i="21"/>
  <c r="AL77" i="21"/>
  <c r="R82" i="21"/>
  <c r="AL85" i="21"/>
  <c r="N60" i="21"/>
  <c r="Z86" i="21"/>
  <c r="AI89" i="21"/>
  <c r="T58" i="21"/>
  <c r="L89" i="21"/>
  <c r="S69" i="21"/>
  <c r="S68" i="21"/>
  <c r="O65" i="21"/>
  <c r="R65" i="21"/>
  <c r="S65" i="21"/>
  <c r="S62" i="21"/>
  <c r="T60" i="21"/>
  <c r="Z63" i="21"/>
  <c r="T47" i="21"/>
  <c r="AB67" i="21"/>
  <c r="AI68" i="21"/>
  <c r="O62" i="21"/>
  <c r="Z67" i="21"/>
  <c r="Q56" i="21"/>
  <c r="R62" i="21"/>
  <c r="AL65" i="21"/>
  <c r="O68" i="21"/>
  <c r="L62" i="21"/>
  <c r="AB63" i="21"/>
  <c r="K54" i="21"/>
  <c r="Z66" i="21"/>
  <c r="AI69" i="21"/>
  <c r="AL62" i="21"/>
  <c r="T50" i="21"/>
  <c r="AO68" i="21"/>
  <c r="AE56" i="21"/>
  <c r="Z64" i="21"/>
  <c r="R68" i="21"/>
  <c r="L69" i="21"/>
  <c r="N61" i="21"/>
  <c r="Q61" i="21"/>
  <c r="K61" i="21"/>
  <c r="T61" i="21"/>
  <c r="AK61" i="21"/>
  <c r="AI60" i="21"/>
  <c r="K60" i="21"/>
  <c r="AK60" i="21"/>
  <c r="T59" i="21"/>
  <c r="Y59" i="21"/>
  <c r="AA59" i="21"/>
  <c r="AB59" i="21"/>
  <c r="AI58" i="21"/>
  <c r="AK58" i="21"/>
  <c r="K58" i="21"/>
  <c r="N58" i="21"/>
  <c r="T56" i="21"/>
  <c r="Y56" i="21"/>
  <c r="AA56" i="21"/>
  <c r="K56" i="21"/>
  <c r="AB56" i="21"/>
  <c r="T54" i="21"/>
  <c r="AI54" i="21"/>
  <c r="K52" i="21"/>
  <c r="N52" i="21"/>
  <c r="T52" i="21"/>
  <c r="AB51" i="21"/>
  <c r="Y51" i="21"/>
  <c r="AA51" i="21"/>
  <c r="K51" i="21"/>
  <c r="N51" i="21"/>
  <c r="N50" i="21"/>
  <c r="K50" i="21"/>
  <c r="AI50" i="21"/>
  <c r="Z47" i="21"/>
  <c r="AF47" i="21"/>
  <c r="Y47" i="21"/>
  <c r="AA47" i="21"/>
  <c r="K47" i="21"/>
  <c r="AB47" i="21"/>
  <c r="N47" i="21"/>
  <c r="R43" i="21"/>
  <c r="K34" i="21"/>
  <c r="AE35" i="21"/>
  <c r="T36" i="21"/>
  <c r="N37" i="21"/>
  <c r="AI43" i="21"/>
  <c r="N43" i="21"/>
  <c r="K43" i="21"/>
  <c r="L43" i="21"/>
  <c r="K37" i="21"/>
  <c r="AE38" i="21"/>
  <c r="T35" i="21"/>
  <c r="Q46" i="21"/>
  <c r="N34" i="21"/>
  <c r="K44" i="21"/>
  <c r="Y35" i="21"/>
  <c r="AK39" i="21"/>
  <c r="N44" i="21"/>
  <c r="T44" i="21"/>
  <c r="L42" i="21"/>
  <c r="AK44" i="21"/>
  <c r="K39" i="21"/>
  <c r="O42" i="21"/>
  <c r="Q45" i="21"/>
  <c r="Q37" i="21"/>
  <c r="AL42" i="21"/>
  <c r="AI42" i="21"/>
  <c r="Q42" i="21"/>
  <c r="K42" i="21"/>
  <c r="N42" i="21"/>
  <c r="AI46" i="21"/>
  <c r="AK46" i="21"/>
  <c r="AI45" i="21"/>
  <c r="AK45" i="21"/>
  <c r="K46" i="21"/>
  <c r="K45" i="21"/>
  <c r="N46" i="21"/>
  <c r="N45" i="21"/>
  <c r="T39" i="21"/>
  <c r="AI39" i="21"/>
  <c r="T38" i="21"/>
  <c r="Y38" i="21"/>
  <c r="AA38" i="21"/>
  <c r="K38" i="21"/>
  <c r="AB38" i="21"/>
  <c r="N38" i="21"/>
  <c r="T37" i="21"/>
  <c r="AI36" i="21"/>
  <c r="AK36" i="21"/>
  <c r="K36" i="21"/>
  <c r="N36" i="21"/>
  <c r="AA35" i="21"/>
  <c r="K35" i="21"/>
  <c r="AB35" i="21"/>
  <c r="N35" i="21"/>
  <c r="T34" i="21"/>
  <c r="AI34" i="21"/>
  <c r="AK30" i="21"/>
  <c r="AL30" i="21"/>
  <c r="R30" i="21"/>
  <c r="O30" i="21"/>
  <c r="L30" i="21"/>
  <c r="J30" i="21"/>
  <c r="P30" i="21" s="1"/>
  <c r="H30" i="21"/>
  <c r="G26" i="21"/>
  <c r="AL27" i="21"/>
  <c r="R27" i="21"/>
  <c r="O27" i="21"/>
  <c r="L27" i="21"/>
  <c r="H27" i="21"/>
  <c r="AL26" i="21"/>
  <c r="R26" i="21"/>
  <c r="O26" i="21"/>
  <c r="L26" i="21"/>
  <c r="H26" i="21"/>
  <c r="AL25" i="21"/>
  <c r="AK25" i="21"/>
  <c r="Z25" i="21"/>
  <c r="W25" i="21"/>
  <c r="AB25" i="21" s="1"/>
  <c r="R25" i="21"/>
  <c r="O25" i="21"/>
  <c r="L25" i="21"/>
  <c r="H25" i="21"/>
  <c r="AN24" i="21"/>
  <c r="AL24" i="21"/>
  <c r="R24" i="21"/>
  <c r="O24" i="21"/>
  <c r="L24" i="21"/>
  <c r="H24" i="21"/>
  <c r="G24" i="21"/>
  <c r="AN23" i="21"/>
  <c r="AL23" i="21"/>
  <c r="AK23" i="21"/>
  <c r="G21" i="21"/>
  <c r="AT21" i="21" s="1"/>
  <c r="G20" i="21"/>
  <c r="G18" i="21"/>
  <c r="AT18" i="21" s="1"/>
  <c r="AL21" i="21"/>
  <c r="R21" i="21"/>
  <c r="O21" i="21"/>
  <c r="L21" i="21"/>
  <c r="H21" i="21"/>
  <c r="AL20" i="21"/>
  <c r="R20" i="21"/>
  <c r="O20" i="21"/>
  <c r="L20" i="21"/>
  <c r="H20" i="21"/>
  <c r="AL19" i="21"/>
  <c r="AK19" i="21"/>
  <c r="Z19" i="21"/>
  <c r="W19" i="21"/>
  <c r="AB19" i="21" s="1"/>
  <c r="R19" i="21"/>
  <c r="O19" i="21"/>
  <c r="L19" i="21"/>
  <c r="H19" i="21"/>
  <c r="AA19" i="21" s="1"/>
  <c r="AN18" i="21"/>
  <c r="AL18" i="21"/>
  <c r="R18" i="21"/>
  <c r="O18" i="21"/>
  <c r="L18" i="21"/>
  <c r="H18" i="21"/>
  <c r="AN17" i="21"/>
  <c r="AL17" i="21"/>
  <c r="AK17" i="21"/>
  <c r="G15" i="21"/>
  <c r="AL15" i="21"/>
  <c r="R15" i="21"/>
  <c r="O15" i="21"/>
  <c r="L15" i="21"/>
  <c r="J15" i="21"/>
  <c r="P15" i="21" s="1"/>
  <c r="H15" i="21"/>
  <c r="G14" i="21"/>
  <c r="AT14" i="21" s="1"/>
  <c r="AL14" i="21"/>
  <c r="R14" i="21"/>
  <c r="O14" i="21"/>
  <c r="L14" i="21"/>
  <c r="J14" i="21"/>
  <c r="P14" i="21" s="1"/>
  <c r="H14" i="21"/>
  <c r="G11" i="21"/>
  <c r="AT11" i="21" s="1"/>
  <c r="G10" i="21"/>
  <c r="AF10" i="21"/>
  <c r="AB10" i="21"/>
  <c r="R10" i="21"/>
  <c r="O10" i="21"/>
  <c r="L10" i="21"/>
  <c r="H10" i="21"/>
  <c r="AE10" i="21" s="1"/>
  <c r="G9" i="21"/>
  <c r="AT9" i="21" s="1"/>
  <c r="J8" i="21"/>
  <c r="AQ271" i="20"/>
  <c r="AQ273" i="20" s="1"/>
  <c r="G269" i="20"/>
  <c r="AK269" i="20" s="1"/>
  <c r="AL270" i="20"/>
  <c r="AI270" i="20"/>
  <c r="AF270" i="20"/>
  <c r="W270" i="20"/>
  <c r="R270" i="20"/>
  <c r="O270" i="20"/>
  <c r="L270" i="20"/>
  <c r="H270" i="20"/>
  <c r="Q270" i="20" s="1"/>
  <c r="AN269" i="20"/>
  <c r="AL269" i="20"/>
  <c r="AI269" i="20"/>
  <c r="R269" i="20"/>
  <c r="O269" i="20"/>
  <c r="L269" i="20"/>
  <c r="H269" i="20"/>
  <c r="AM268" i="20"/>
  <c r="AL268" i="20"/>
  <c r="AF268" i="20"/>
  <c r="Z268" i="20"/>
  <c r="R268" i="20"/>
  <c r="O268" i="20"/>
  <c r="L268" i="20"/>
  <c r="H268" i="20"/>
  <c r="AK268" i="20"/>
  <c r="AI267" i="20"/>
  <c r="AN267" i="20"/>
  <c r="AL267" i="20"/>
  <c r="R267" i="20"/>
  <c r="O267" i="20"/>
  <c r="L267" i="20"/>
  <c r="H267" i="20"/>
  <c r="AI264" i="20"/>
  <c r="AN264" i="20"/>
  <c r="AL264" i="20"/>
  <c r="R264" i="20"/>
  <c r="O264" i="20"/>
  <c r="L264" i="20"/>
  <c r="H264" i="20"/>
  <c r="N264" i="20" s="1"/>
  <c r="AL263" i="20"/>
  <c r="AI263" i="20"/>
  <c r="AF263" i="20"/>
  <c r="Z263" i="20"/>
  <c r="W263" i="20"/>
  <c r="R263" i="20"/>
  <c r="O263" i="20"/>
  <c r="L263" i="20"/>
  <c r="H263" i="20"/>
  <c r="Q263" i="20" s="1"/>
  <c r="G262" i="20"/>
  <c r="AK262" i="20" s="1"/>
  <c r="AN262" i="20"/>
  <c r="AL262" i="20"/>
  <c r="R262" i="20"/>
  <c r="O262" i="20"/>
  <c r="L262" i="20"/>
  <c r="H262" i="20"/>
  <c r="G259" i="20"/>
  <c r="AK259" i="20" s="1"/>
  <c r="AM258" i="20"/>
  <c r="AL258" i="20"/>
  <c r="AF258" i="20"/>
  <c r="Z258" i="20"/>
  <c r="R258" i="20"/>
  <c r="O258" i="20"/>
  <c r="L258" i="20"/>
  <c r="H258" i="20"/>
  <c r="G258" i="20"/>
  <c r="AK258" i="20" s="1"/>
  <c r="G257" i="20"/>
  <c r="AK257" i="20" s="1"/>
  <c r="G255" i="20"/>
  <c r="AI255" i="20" s="1"/>
  <c r="AN259" i="20"/>
  <c r="AL259" i="20"/>
  <c r="R259" i="20"/>
  <c r="O259" i="20"/>
  <c r="L259" i="20"/>
  <c r="H259" i="20"/>
  <c r="AN257" i="20"/>
  <c r="AL257" i="20"/>
  <c r="R257" i="20"/>
  <c r="O257" i="20"/>
  <c r="L257" i="20"/>
  <c r="H257" i="20"/>
  <c r="AL256" i="20"/>
  <c r="AI256" i="20"/>
  <c r="AF256" i="20"/>
  <c r="Z256" i="20"/>
  <c r="W256" i="20"/>
  <c r="R256" i="20"/>
  <c r="O256" i="20"/>
  <c r="L256" i="20"/>
  <c r="H256" i="20"/>
  <c r="AA256" i="20" s="1"/>
  <c r="AN255" i="20"/>
  <c r="AL255" i="20"/>
  <c r="R255" i="20"/>
  <c r="O255" i="20"/>
  <c r="L255" i="20"/>
  <c r="H255" i="20"/>
  <c r="AM252" i="20"/>
  <c r="AL252" i="20"/>
  <c r="AF252" i="20"/>
  <c r="Z252" i="20"/>
  <c r="R252" i="20"/>
  <c r="O252" i="20"/>
  <c r="L252" i="20"/>
  <c r="H252" i="20"/>
  <c r="G252" i="20"/>
  <c r="AK252" i="20" s="1"/>
  <c r="G251" i="20"/>
  <c r="AK251" i="20" s="1"/>
  <c r="AN251" i="20"/>
  <c r="AL251" i="20"/>
  <c r="R251" i="20"/>
  <c r="O251" i="20"/>
  <c r="L251" i="20"/>
  <c r="H251" i="20"/>
  <c r="AN250" i="20"/>
  <c r="AL250" i="20"/>
  <c r="AK250" i="20"/>
  <c r="G247" i="20"/>
  <c r="AI247" i="20" s="1"/>
  <c r="AL248" i="20"/>
  <c r="R248" i="20"/>
  <c r="O248" i="20"/>
  <c r="L248" i="20"/>
  <c r="H248" i="20"/>
  <c r="G248" i="20"/>
  <c r="AL247" i="20"/>
  <c r="R247" i="20"/>
  <c r="O247" i="20"/>
  <c r="L247" i="20"/>
  <c r="H247" i="20"/>
  <c r="AL246" i="20"/>
  <c r="AK246" i="20"/>
  <c r="Z246" i="20"/>
  <c r="W246" i="20"/>
  <c r="AB246" i="20" s="1"/>
  <c r="R246" i="20"/>
  <c r="O246" i="20"/>
  <c r="L246" i="20"/>
  <c r="H246" i="20"/>
  <c r="AN245" i="20"/>
  <c r="AL245" i="20"/>
  <c r="R245" i="20"/>
  <c r="O245" i="20"/>
  <c r="L245" i="20"/>
  <c r="H245" i="20"/>
  <c r="G245" i="20"/>
  <c r="AP244" i="20"/>
  <c r="AN244" i="20"/>
  <c r="AL244" i="20"/>
  <c r="AK244" i="20"/>
  <c r="G241" i="20"/>
  <c r="G242" i="20"/>
  <c r="G239" i="20"/>
  <c r="AL242" i="20"/>
  <c r="R242" i="20"/>
  <c r="O242" i="20"/>
  <c r="L242" i="20"/>
  <c r="H242" i="20"/>
  <c r="AL241" i="20"/>
  <c r="R241" i="20"/>
  <c r="O241" i="20"/>
  <c r="L241" i="20"/>
  <c r="H241" i="20"/>
  <c r="AL240" i="20"/>
  <c r="AK240" i="20"/>
  <c r="Z240" i="20"/>
  <c r="W240" i="20"/>
  <c r="AB240" i="20" s="1"/>
  <c r="R240" i="20"/>
  <c r="O240" i="20"/>
  <c r="L240" i="20"/>
  <c r="H240" i="20"/>
  <c r="AN239" i="20"/>
  <c r="AL239" i="20"/>
  <c r="R239" i="20"/>
  <c r="O239" i="20"/>
  <c r="L239" i="20"/>
  <c r="H239" i="20"/>
  <c r="AP238" i="20"/>
  <c r="AN238" i="20"/>
  <c r="AL238" i="20"/>
  <c r="AK238" i="20"/>
  <c r="AI236" i="20"/>
  <c r="AN236" i="20"/>
  <c r="AL236" i="20"/>
  <c r="R236" i="20"/>
  <c r="O236" i="20"/>
  <c r="L236" i="20"/>
  <c r="H236" i="20"/>
  <c r="AL235" i="20"/>
  <c r="AI235" i="20"/>
  <c r="AF235" i="20"/>
  <c r="Z235" i="20"/>
  <c r="W235" i="20"/>
  <c r="R235" i="20"/>
  <c r="O235" i="20"/>
  <c r="L235" i="20"/>
  <c r="H235" i="20"/>
  <c r="Q235" i="20" s="1"/>
  <c r="AI234" i="20"/>
  <c r="AN234" i="20"/>
  <c r="AL234" i="20"/>
  <c r="R234" i="20"/>
  <c r="O234" i="20"/>
  <c r="L234" i="20"/>
  <c r="H234" i="20"/>
  <c r="G233" i="20"/>
  <c r="AK233" i="20" s="1"/>
  <c r="AN233" i="20"/>
  <c r="R233" i="20"/>
  <c r="O233" i="20"/>
  <c r="H233" i="20"/>
  <c r="L233" i="20"/>
  <c r="G230" i="20"/>
  <c r="AI230" i="20" s="1"/>
  <c r="AN230" i="20"/>
  <c r="AL230" i="20"/>
  <c r="R230" i="20"/>
  <c r="O230" i="20"/>
  <c r="L230" i="20"/>
  <c r="H230" i="20"/>
  <c r="AL229" i="20"/>
  <c r="AK229" i="20"/>
  <c r="AI229" i="20"/>
  <c r="AE229" i="20"/>
  <c r="Y229" i="20"/>
  <c r="W229" i="20"/>
  <c r="R229" i="20"/>
  <c r="Q229" i="20"/>
  <c r="O229" i="20"/>
  <c r="N229" i="20"/>
  <c r="L229" i="20"/>
  <c r="K229" i="20"/>
  <c r="H229" i="20"/>
  <c r="AA229" i="20" s="1"/>
  <c r="AL228" i="20"/>
  <c r="AK228" i="20"/>
  <c r="AI228" i="20"/>
  <c r="AE228" i="20"/>
  <c r="Y228" i="20"/>
  <c r="W228" i="20"/>
  <c r="R228" i="20"/>
  <c r="Q228" i="20"/>
  <c r="O228" i="20"/>
  <c r="N228" i="20"/>
  <c r="L228" i="20"/>
  <c r="K228" i="20"/>
  <c r="H228" i="20"/>
  <c r="AA228" i="20" s="1"/>
  <c r="G227" i="20"/>
  <c r="O227" i="20" s="1"/>
  <c r="AL225" i="20"/>
  <c r="AK225" i="20"/>
  <c r="AI225" i="20"/>
  <c r="W225" i="20"/>
  <c r="AB225" i="20" s="1"/>
  <c r="R225" i="20"/>
  <c r="O225" i="20"/>
  <c r="L225" i="20"/>
  <c r="H225" i="20"/>
  <c r="Q225" i="20" s="1"/>
  <c r="AK227" i="20"/>
  <c r="Q227" i="20"/>
  <c r="N227" i="20"/>
  <c r="K227" i="20"/>
  <c r="H227" i="20"/>
  <c r="G226" i="20"/>
  <c r="AI226" i="20" s="1"/>
  <c r="AK226" i="20"/>
  <c r="Q226" i="20"/>
  <c r="N226" i="20"/>
  <c r="K226" i="20"/>
  <c r="H226" i="20"/>
  <c r="G224" i="20"/>
  <c r="AL224" i="20" s="1"/>
  <c r="AK224" i="20"/>
  <c r="Q224" i="20"/>
  <c r="N224" i="20"/>
  <c r="H224" i="20"/>
  <c r="K224" i="20"/>
  <c r="AI221" i="20"/>
  <c r="AF221" i="20"/>
  <c r="Z221" i="20"/>
  <c r="W221" i="20"/>
  <c r="AB221" i="20" s="1"/>
  <c r="R221" i="20"/>
  <c r="O221" i="20"/>
  <c r="L221" i="20"/>
  <c r="H221" i="20"/>
  <c r="N221" i="20" s="1"/>
  <c r="AN220" i="20"/>
  <c r="AL220" i="20"/>
  <c r="AK220" i="20"/>
  <c r="AI220" i="20"/>
  <c r="W220" i="20"/>
  <c r="AB220" i="20" s="1"/>
  <c r="R220" i="20"/>
  <c r="O220" i="20"/>
  <c r="L220" i="20"/>
  <c r="H220" i="20"/>
  <c r="AA220" i="20" s="1"/>
  <c r="G219" i="20"/>
  <c r="AI219" i="20" s="1"/>
  <c r="AN219" i="20"/>
  <c r="AL219" i="20"/>
  <c r="R219" i="20"/>
  <c r="O219" i="20"/>
  <c r="L219" i="20"/>
  <c r="H219" i="20"/>
  <c r="G216" i="20"/>
  <c r="AO216" i="20" s="1"/>
  <c r="G213" i="20"/>
  <c r="AI213" i="20" s="1"/>
  <c r="AE216" i="20"/>
  <c r="AB216" i="20"/>
  <c r="Q216" i="20"/>
  <c r="O216" i="20"/>
  <c r="N216" i="20"/>
  <c r="K216" i="20"/>
  <c r="I216" i="20"/>
  <c r="H216" i="20"/>
  <c r="AF216" i="20" s="1"/>
  <c r="AL215" i="20"/>
  <c r="AI215" i="20"/>
  <c r="AE215" i="20"/>
  <c r="Y215" i="20"/>
  <c r="W215" i="20"/>
  <c r="R215" i="20"/>
  <c r="Q215" i="20"/>
  <c r="O215" i="20"/>
  <c r="N215" i="20"/>
  <c r="L215" i="20"/>
  <c r="K215" i="20"/>
  <c r="H215" i="20"/>
  <c r="AA215" i="20" s="1"/>
  <c r="AL214" i="20"/>
  <c r="AI214" i="20"/>
  <c r="AE214" i="20"/>
  <c r="Y214" i="20"/>
  <c r="W214" i="20"/>
  <c r="R214" i="20"/>
  <c r="Q214" i="20"/>
  <c r="O214" i="20"/>
  <c r="N214" i="20"/>
  <c r="L214" i="20"/>
  <c r="K214" i="20"/>
  <c r="H214" i="20"/>
  <c r="AA214" i="20" s="1"/>
  <c r="Q213" i="20"/>
  <c r="N213" i="20"/>
  <c r="K213" i="20"/>
  <c r="H213" i="20"/>
  <c r="AN212" i="20"/>
  <c r="AL212" i="20"/>
  <c r="AI212" i="20"/>
  <c r="W212" i="20"/>
  <c r="AF212" i="20" s="1"/>
  <c r="R212" i="20"/>
  <c r="O212" i="20"/>
  <c r="L212" i="20"/>
  <c r="H212" i="20"/>
  <c r="AA212" i="20" s="1"/>
  <c r="G211" i="20"/>
  <c r="AN211" i="20"/>
  <c r="AL211" i="20"/>
  <c r="R211" i="20"/>
  <c r="O211" i="20"/>
  <c r="L211" i="20"/>
  <c r="H211" i="20"/>
  <c r="AI210" i="20"/>
  <c r="AF210" i="20"/>
  <c r="Z210" i="20"/>
  <c r="W210" i="20"/>
  <c r="R210" i="20"/>
  <c r="O210" i="20"/>
  <c r="L210" i="20"/>
  <c r="H210" i="20"/>
  <c r="N210" i="20" s="1"/>
  <c r="AI209" i="20"/>
  <c r="AF209" i="20"/>
  <c r="Z209" i="20"/>
  <c r="W209" i="20"/>
  <c r="R209" i="20"/>
  <c r="O209" i="20"/>
  <c r="L209" i="20"/>
  <c r="H209" i="20"/>
  <c r="AA209" i="20" s="1"/>
  <c r="G208" i="20"/>
  <c r="AN208" i="20"/>
  <c r="AL208" i="20"/>
  <c r="R208" i="20"/>
  <c r="O208" i="20"/>
  <c r="L208" i="20"/>
  <c r="H208" i="20"/>
  <c r="AI207" i="20"/>
  <c r="AF207" i="20"/>
  <c r="Z207" i="20"/>
  <c r="W207" i="20"/>
  <c r="R207" i="20"/>
  <c r="O207" i="20"/>
  <c r="L207" i="20"/>
  <c r="H207" i="20"/>
  <c r="N207" i="20" s="1"/>
  <c r="G206" i="20"/>
  <c r="AN206" i="20"/>
  <c r="AL206" i="20"/>
  <c r="R206" i="20"/>
  <c r="O206" i="20"/>
  <c r="L206" i="20"/>
  <c r="H206" i="20"/>
  <c r="AI205" i="20"/>
  <c r="AF205" i="20"/>
  <c r="Z205" i="20"/>
  <c r="W205" i="20"/>
  <c r="R205" i="20"/>
  <c r="O205" i="20"/>
  <c r="L205" i="20"/>
  <c r="H205" i="20"/>
  <c r="K205" i="20" s="1"/>
  <c r="G204" i="20"/>
  <c r="AI204" i="20" s="1"/>
  <c r="AN204" i="20"/>
  <c r="AL204" i="20"/>
  <c r="R204" i="20"/>
  <c r="O204" i="20"/>
  <c r="L204" i="20"/>
  <c r="H204" i="20"/>
  <c r="AN199" i="20"/>
  <c r="AL199" i="20"/>
  <c r="AK199" i="20"/>
  <c r="AI199" i="20"/>
  <c r="AF199" i="20"/>
  <c r="Z199" i="20"/>
  <c r="W199" i="20"/>
  <c r="R199" i="20"/>
  <c r="O199" i="20"/>
  <c r="L199" i="20"/>
  <c r="H199" i="20"/>
  <c r="Q199" i="20" s="1"/>
  <c r="G200" i="20"/>
  <c r="AI200" i="20" s="1"/>
  <c r="AN200" i="20"/>
  <c r="AL200" i="20"/>
  <c r="R200" i="20"/>
  <c r="O200" i="20"/>
  <c r="L200" i="20"/>
  <c r="H200" i="20"/>
  <c r="G198" i="20"/>
  <c r="AI198" i="20" s="1"/>
  <c r="AN198" i="20"/>
  <c r="AL198" i="20"/>
  <c r="R198" i="20"/>
  <c r="O198" i="20"/>
  <c r="L198" i="20"/>
  <c r="H198" i="20"/>
  <c r="G197" i="20"/>
  <c r="AN197" i="20"/>
  <c r="AL197" i="20"/>
  <c r="R197" i="20"/>
  <c r="O197" i="20"/>
  <c r="L197" i="20"/>
  <c r="H197" i="20"/>
  <c r="AI193" i="20"/>
  <c r="AL191" i="20"/>
  <c r="AI191" i="20"/>
  <c r="AF191" i="20"/>
  <c r="Z191" i="20"/>
  <c r="W191" i="20"/>
  <c r="R191" i="20"/>
  <c r="O191" i="20"/>
  <c r="L191" i="20"/>
  <c r="H191" i="20"/>
  <c r="Q191" i="20" s="1"/>
  <c r="AI190" i="20"/>
  <c r="AM194" i="20"/>
  <c r="AL194" i="20"/>
  <c r="AF194" i="20"/>
  <c r="Z194" i="20"/>
  <c r="R194" i="20"/>
  <c r="O194" i="20"/>
  <c r="L194" i="20"/>
  <c r="H194" i="20"/>
  <c r="G194" i="20"/>
  <c r="AK194" i="20" s="1"/>
  <c r="AN193" i="20"/>
  <c r="AL193" i="20"/>
  <c r="R193" i="20"/>
  <c r="O193" i="20"/>
  <c r="L193" i="20"/>
  <c r="H193" i="20"/>
  <c r="AN190" i="20"/>
  <c r="AL190" i="20"/>
  <c r="R190" i="20"/>
  <c r="O190" i="20"/>
  <c r="L190" i="20"/>
  <c r="H190" i="20"/>
  <c r="K190" i="20" s="1"/>
  <c r="AL189" i="20"/>
  <c r="AI189" i="20"/>
  <c r="AF189" i="20"/>
  <c r="Z189" i="20"/>
  <c r="W189" i="20"/>
  <c r="AB189" i="20" s="1"/>
  <c r="R189" i="20"/>
  <c r="O189" i="20"/>
  <c r="L189" i="20"/>
  <c r="H189" i="20"/>
  <c r="Q189" i="20" s="1"/>
  <c r="AN188" i="20"/>
  <c r="AL188" i="20"/>
  <c r="AI188" i="20"/>
  <c r="R188" i="20"/>
  <c r="O188" i="20"/>
  <c r="L188" i="20"/>
  <c r="H188" i="20"/>
  <c r="N188" i="20" s="1"/>
  <c r="AK184" i="20"/>
  <c r="G185" i="20"/>
  <c r="W185" i="20" s="1"/>
  <c r="AB185" i="20" s="1"/>
  <c r="H185" i="20"/>
  <c r="N185" i="20" s="1"/>
  <c r="L185" i="20"/>
  <c r="O185" i="20"/>
  <c r="R185" i="20"/>
  <c r="Z185" i="20"/>
  <c r="AF185" i="20"/>
  <c r="AL185" i="20"/>
  <c r="AM185" i="20"/>
  <c r="G183" i="20"/>
  <c r="G181" i="20"/>
  <c r="AI181" i="20" s="1"/>
  <c r="AN184" i="20"/>
  <c r="AL184" i="20"/>
  <c r="R184" i="20"/>
  <c r="O184" i="20"/>
  <c r="L184" i="20"/>
  <c r="H184" i="20"/>
  <c r="AN183" i="20"/>
  <c r="AL183" i="20"/>
  <c r="R183" i="20"/>
  <c r="O183" i="20"/>
  <c r="L183" i="20"/>
  <c r="H183" i="20"/>
  <c r="AL182" i="20"/>
  <c r="AI182" i="20"/>
  <c r="AF182" i="20"/>
  <c r="Z182" i="20"/>
  <c r="W182" i="20"/>
  <c r="AB182" i="20" s="1"/>
  <c r="R182" i="20"/>
  <c r="O182" i="20"/>
  <c r="L182" i="20"/>
  <c r="H182" i="20"/>
  <c r="AN181" i="20"/>
  <c r="AL181" i="20"/>
  <c r="R181" i="20"/>
  <c r="O181" i="20"/>
  <c r="L181" i="20"/>
  <c r="H181" i="20"/>
  <c r="G177" i="20"/>
  <c r="AI177" i="20" s="1"/>
  <c r="G174" i="20"/>
  <c r="AL178" i="20"/>
  <c r="AF178" i="20"/>
  <c r="Z178" i="20"/>
  <c r="R178" i="20"/>
  <c r="O178" i="20"/>
  <c r="L178" i="20"/>
  <c r="H178" i="20"/>
  <c r="G178" i="20"/>
  <c r="W178" i="20" s="1"/>
  <c r="AB178" i="20" s="1"/>
  <c r="AN177" i="20"/>
  <c r="AL177" i="20"/>
  <c r="R177" i="20"/>
  <c r="O177" i="20"/>
  <c r="L177" i="20"/>
  <c r="H177" i="20"/>
  <c r="AN176" i="20"/>
  <c r="AL176" i="20"/>
  <c r="R176" i="20"/>
  <c r="O176" i="20"/>
  <c r="L176" i="20"/>
  <c r="H176" i="20"/>
  <c r="G176" i="20"/>
  <c r="AL175" i="20"/>
  <c r="AI175" i="20"/>
  <c r="AF175" i="20"/>
  <c r="Z175" i="20"/>
  <c r="W175" i="20"/>
  <c r="R175" i="20"/>
  <c r="O175" i="20"/>
  <c r="L175" i="20"/>
  <c r="H175" i="20"/>
  <c r="K175" i="20" s="1"/>
  <c r="AN174" i="20"/>
  <c r="AL174" i="20"/>
  <c r="AI174" i="20"/>
  <c r="R174" i="20"/>
  <c r="O174" i="20"/>
  <c r="L174" i="20"/>
  <c r="H174" i="20"/>
  <c r="G171" i="20"/>
  <c r="AN171" i="20"/>
  <c r="AL171" i="20"/>
  <c r="R171" i="20"/>
  <c r="O171" i="20"/>
  <c r="L171" i="20"/>
  <c r="H171" i="20"/>
  <c r="AL170" i="20"/>
  <c r="AF170" i="20"/>
  <c r="Z170" i="20"/>
  <c r="R170" i="20"/>
  <c r="O170" i="20"/>
  <c r="L170" i="20"/>
  <c r="H170" i="20"/>
  <c r="G170" i="20"/>
  <c r="G169" i="20"/>
  <c r="AI169" i="20" s="1"/>
  <c r="AN169" i="20"/>
  <c r="AL169" i="20"/>
  <c r="R169" i="20"/>
  <c r="O169" i="20"/>
  <c r="L169" i="20"/>
  <c r="H169" i="20"/>
  <c r="G168" i="20"/>
  <c r="AN168" i="20"/>
  <c r="AL168" i="20"/>
  <c r="AI168" i="20"/>
  <c r="R168" i="20"/>
  <c r="O168" i="20"/>
  <c r="L168" i="20"/>
  <c r="H168" i="20"/>
  <c r="AL167" i="20"/>
  <c r="AI167" i="20"/>
  <c r="AF167" i="20"/>
  <c r="Z167" i="20"/>
  <c r="W167" i="20"/>
  <c r="R167" i="20"/>
  <c r="O167" i="20"/>
  <c r="L167" i="20"/>
  <c r="H167" i="20"/>
  <c r="Q167" i="20" s="1"/>
  <c r="AI166" i="20"/>
  <c r="AN166" i="20"/>
  <c r="AL166" i="20"/>
  <c r="R166" i="20"/>
  <c r="O166" i="20"/>
  <c r="L166" i="20"/>
  <c r="H166" i="20"/>
  <c r="G159" i="20"/>
  <c r="AI159" i="20" s="1"/>
  <c r="AN159" i="20"/>
  <c r="AL159" i="20"/>
  <c r="R159" i="20"/>
  <c r="O159" i="20"/>
  <c r="L159" i="20"/>
  <c r="H159" i="20"/>
  <c r="G131" i="20"/>
  <c r="G129" i="20"/>
  <c r="AI162" i="20"/>
  <c r="AN162" i="20"/>
  <c r="AL162" i="20"/>
  <c r="R162" i="20"/>
  <c r="O162" i="20"/>
  <c r="L162" i="20"/>
  <c r="H162" i="20"/>
  <c r="AL161" i="20"/>
  <c r="AI161" i="20"/>
  <c r="AF161" i="20"/>
  <c r="Z161" i="20"/>
  <c r="W161" i="20"/>
  <c r="R161" i="20"/>
  <c r="O161" i="20"/>
  <c r="L161" i="20"/>
  <c r="H161" i="20"/>
  <c r="Q161" i="20" s="1"/>
  <c r="AI160" i="20"/>
  <c r="AN160" i="20"/>
  <c r="AL160" i="20"/>
  <c r="R160" i="20"/>
  <c r="O160" i="20"/>
  <c r="L160" i="20"/>
  <c r="H160" i="20"/>
  <c r="AL158" i="20"/>
  <c r="AI158" i="20"/>
  <c r="AF158" i="20"/>
  <c r="Z158" i="20"/>
  <c r="W158" i="20"/>
  <c r="R158" i="20"/>
  <c r="O158" i="20"/>
  <c r="L158" i="20"/>
  <c r="H158" i="20"/>
  <c r="Q158" i="20" s="1"/>
  <c r="G157" i="20"/>
  <c r="AL157" i="20"/>
  <c r="Z157" i="20"/>
  <c r="R157" i="20"/>
  <c r="O157" i="20"/>
  <c r="L157" i="20"/>
  <c r="H157" i="20"/>
  <c r="G156" i="20"/>
  <c r="AN156" i="20"/>
  <c r="AL156" i="20"/>
  <c r="R156" i="20"/>
  <c r="O156" i="20"/>
  <c r="L156" i="20"/>
  <c r="H156" i="20"/>
  <c r="AI70" i="20"/>
  <c r="AL29" i="20"/>
  <c r="AK29" i="20"/>
  <c r="Z29" i="20"/>
  <c r="W29" i="20"/>
  <c r="AB29" i="20" s="1"/>
  <c r="R29" i="20"/>
  <c r="O29" i="20"/>
  <c r="L29" i="20"/>
  <c r="H29" i="20"/>
  <c r="N29" i="20" s="1"/>
  <c r="G153" i="20"/>
  <c r="G152" i="20"/>
  <c r="AL151" i="20"/>
  <c r="AK151" i="20"/>
  <c r="Z151" i="20"/>
  <c r="W151" i="20"/>
  <c r="AB151" i="20" s="1"/>
  <c r="R151" i="20"/>
  <c r="O151" i="20"/>
  <c r="L151" i="20"/>
  <c r="H151" i="20"/>
  <c r="N151" i="20" s="1"/>
  <c r="G150" i="20"/>
  <c r="AI150" i="20" s="1"/>
  <c r="G147" i="20"/>
  <c r="AI147" i="20" s="1"/>
  <c r="G146" i="20"/>
  <c r="AI146" i="20" s="1"/>
  <c r="G144" i="20"/>
  <c r="AI141" i="20"/>
  <c r="G137" i="20"/>
  <c r="AI137" i="20" s="1"/>
  <c r="G136" i="20"/>
  <c r="AK136" i="20" s="1"/>
  <c r="G135" i="20"/>
  <c r="AK135" i="20" s="1"/>
  <c r="AM132" i="20"/>
  <c r="AL132" i="20"/>
  <c r="AF132" i="20"/>
  <c r="Z132" i="20"/>
  <c r="R132" i="20"/>
  <c r="O132" i="20"/>
  <c r="L132" i="20"/>
  <c r="H132" i="20"/>
  <c r="G132" i="20"/>
  <c r="AM130" i="20"/>
  <c r="AL130" i="20"/>
  <c r="AF130" i="20"/>
  <c r="Z130" i="20"/>
  <c r="R130" i="20"/>
  <c r="O130" i="20"/>
  <c r="L130" i="20"/>
  <c r="H130" i="20"/>
  <c r="G130" i="20"/>
  <c r="G127" i="20"/>
  <c r="AI127" i="20" s="1"/>
  <c r="AL153" i="20"/>
  <c r="R153" i="20"/>
  <c r="O153" i="20"/>
  <c r="L153" i="20"/>
  <c r="H153" i="20"/>
  <c r="AL152" i="20"/>
  <c r="R152" i="20"/>
  <c r="O152" i="20"/>
  <c r="L152" i="20"/>
  <c r="H152" i="20"/>
  <c r="AN150" i="20"/>
  <c r="AL150" i="20"/>
  <c r="R150" i="20"/>
  <c r="O150" i="20"/>
  <c r="L150" i="20"/>
  <c r="H150" i="20"/>
  <c r="AP149" i="20"/>
  <c r="AN149" i="20"/>
  <c r="AL149" i="20"/>
  <c r="AK149" i="20"/>
  <c r="AL148" i="20"/>
  <c r="AK148" i="20"/>
  <c r="AL147" i="20"/>
  <c r="R147" i="20"/>
  <c r="O147" i="20"/>
  <c r="L147" i="20"/>
  <c r="H147" i="20"/>
  <c r="AL146" i="20"/>
  <c r="R146" i="20"/>
  <c r="O146" i="20"/>
  <c r="L146" i="20"/>
  <c r="H146" i="20"/>
  <c r="AL145" i="20"/>
  <c r="AK145" i="20"/>
  <c r="Z145" i="20"/>
  <c r="W145" i="20"/>
  <c r="AB145" i="20" s="1"/>
  <c r="R145" i="20"/>
  <c r="O145" i="20"/>
  <c r="L145" i="20"/>
  <c r="H145" i="20"/>
  <c r="K145" i="20" s="1"/>
  <c r="AN144" i="20"/>
  <c r="AL144" i="20"/>
  <c r="R144" i="20"/>
  <c r="O144" i="20"/>
  <c r="L144" i="20"/>
  <c r="H144" i="20"/>
  <c r="AN143" i="20"/>
  <c r="AL143" i="20"/>
  <c r="AK143" i="20"/>
  <c r="AL142" i="20"/>
  <c r="AK142" i="20"/>
  <c r="AL141" i="20"/>
  <c r="R141" i="20"/>
  <c r="O141" i="20"/>
  <c r="L141" i="20"/>
  <c r="H141" i="20"/>
  <c r="AL140" i="20"/>
  <c r="R140" i="20"/>
  <c r="O140" i="20"/>
  <c r="L140" i="20"/>
  <c r="H140" i="20"/>
  <c r="AL139" i="20"/>
  <c r="AK139" i="20"/>
  <c r="AL138" i="20"/>
  <c r="AK138" i="20"/>
  <c r="AL137" i="20"/>
  <c r="R137" i="20"/>
  <c r="O137" i="20"/>
  <c r="L137" i="20"/>
  <c r="H137" i="20"/>
  <c r="AL136" i="20"/>
  <c r="R136" i="20"/>
  <c r="O136" i="20"/>
  <c r="L136" i="20"/>
  <c r="H136" i="20"/>
  <c r="AL135" i="20"/>
  <c r="R135" i="20"/>
  <c r="O135" i="20"/>
  <c r="L135" i="20"/>
  <c r="H135" i="20"/>
  <c r="AL134" i="20"/>
  <c r="AK134" i="20"/>
  <c r="AL133" i="20"/>
  <c r="AK133" i="20"/>
  <c r="AL131" i="20"/>
  <c r="R131" i="20"/>
  <c r="O131" i="20"/>
  <c r="L131" i="20"/>
  <c r="H131" i="20"/>
  <c r="AL129" i="20"/>
  <c r="R129" i="20"/>
  <c r="O129" i="20"/>
  <c r="L129" i="20"/>
  <c r="H129" i="20"/>
  <c r="AM128" i="20"/>
  <c r="AL128" i="20"/>
  <c r="AF128" i="20"/>
  <c r="Z128" i="20"/>
  <c r="R128" i="20"/>
  <c r="O128" i="20"/>
  <c r="L128" i="20"/>
  <c r="H128" i="20"/>
  <c r="AK128" i="20"/>
  <c r="AL127" i="20"/>
  <c r="R127" i="20"/>
  <c r="O127" i="20"/>
  <c r="L127" i="20"/>
  <c r="H127" i="20"/>
  <c r="AN126" i="20"/>
  <c r="AL126" i="20"/>
  <c r="AK126" i="20"/>
  <c r="AN122" i="20"/>
  <c r="AL122" i="20"/>
  <c r="AK122" i="20"/>
  <c r="AI122" i="20"/>
  <c r="AF122" i="20"/>
  <c r="Z122" i="20"/>
  <c r="W122" i="20"/>
  <c r="R122" i="20"/>
  <c r="O122" i="20"/>
  <c r="L122" i="20"/>
  <c r="H122" i="20"/>
  <c r="N122" i="20" s="1"/>
  <c r="AN113" i="20"/>
  <c r="AL113" i="20"/>
  <c r="AK113" i="20"/>
  <c r="AI113" i="20"/>
  <c r="AF113" i="20"/>
  <c r="Z113" i="20"/>
  <c r="W113" i="20"/>
  <c r="R113" i="20"/>
  <c r="O113" i="20"/>
  <c r="L113" i="20"/>
  <c r="H113" i="20"/>
  <c r="G121" i="20"/>
  <c r="G119" i="20"/>
  <c r="AI119" i="20" s="1"/>
  <c r="G117" i="20"/>
  <c r="AI117" i="20" s="1"/>
  <c r="AL121" i="20"/>
  <c r="R121" i="20"/>
  <c r="O121" i="20"/>
  <c r="L121" i="20"/>
  <c r="H121" i="20"/>
  <c r="AL120" i="20"/>
  <c r="R120" i="20"/>
  <c r="O120" i="20"/>
  <c r="L120" i="20"/>
  <c r="H120" i="20"/>
  <c r="AL119" i="20"/>
  <c r="R119" i="20"/>
  <c r="O119" i="20"/>
  <c r="L119" i="20"/>
  <c r="H119" i="20"/>
  <c r="AN118" i="20"/>
  <c r="AL118" i="20"/>
  <c r="AK118" i="20"/>
  <c r="AI118" i="20"/>
  <c r="AF118" i="20"/>
  <c r="Z118" i="20"/>
  <c r="W118" i="20"/>
  <c r="R118" i="20"/>
  <c r="O118" i="20"/>
  <c r="L118" i="20"/>
  <c r="H118" i="20"/>
  <c r="K118" i="20" s="1"/>
  <c r="AL117" i="20"/>
  <c r="R117" i="20"/>
  <c r="O117" i="20"/>
  <c r="L117" i="20"/>
  <c r="H117" i="20"/>
  <c r="G112" i="20"/>
  <c r="AI112" i="20" s="1"/>
  <c r="AL112" i="20"/>
  <c r="R112" i="20"/>
  <c r="O112" i="20"/>
  <c r="L112" i="20"/>
  <c r="H112" i="20"/>
  <c r="AN109" i="20"/>
  <c r="AL109" i="20"/>
  <c r="AK109" i="20"/>
  <c r="AI109" i="20"/>
  <c r="W109" i="20"/>
  <c r="AF109" i="20" s="1"/>
  <c r="R109" i="20"/>
  <c r="O109" i="20"/>
  <c r="L109" i="20"/>
  <c r="H109" i="20"/>
  <c r="AA109" i="20" s="1"/>
  <c r="G111" i="20"/>
  <c r="AI111" i="20" s="1"/>
  <c r="AL111" i="20"/>
  <c r="R111" i="20"/>
  <c r="O111" i="20"/>
  <c r="L111" i="20"/>
  <c r="H111" i="20"/>
  <c r="G110" i="20"/>
  <c r="AI110" i="20" s="1"/>
  <c r="AL110" i="20"/>
  <c r="R110" i="20"/>
  <c r="O110" i="20"/>
  <c r="L110" i="20"/>
  <c r="H110" i="20"/>
  <c r="G108" i="20"/>
  <c r="AI108" i="20" s="1"/>
  <c r="R108" i="20"/>
  <c r="O108" i="20"/>
  <c r="L108" i="20"/>
  <c r="H108" i="20"/>
  <c r="AL108" i="20"/>
  <c r="G105" i="20"/>
  <c r="O105" i="20" s="1"/>
  <c r="L104" i="20"/>
  <c r="G101" i="20"/>
  <c r="AL101" i="20" s="1"/>
  <c r="AK105" i="20"/>
  <c r="AE105" i="20"/>
  <c r="AB105" i="20"/>
  <c r="Q105" i="20"/>
  <c r="N105" i="20"/>
  <c r="K105" i="20"/>
  <c r="I105" i="20"/>
  <c r="H105" i="20"/>
  <c r="AF105" i="20" s="1"/>
  <c r="AK104" i="20"/>
  <c r="AE104" i="20"/>
  <c r="AB104" i="20"/>
  <c r="Q104" i="20"/>
  <c r="N104" i="20"/>
  <c r="K104" i="20"/>
  <c r="I104" i="20"/>
  <c r="H104" i="20"/>
  <c r="AF104" i="20" s="1"/>
  <c r="AL103" i="20"/>
  <c r="AK103" i="20"/>
  <c r="AI103" i="20"/>
  <c r="AE103" i="20"/>
  <c r="Y103" i="20"/>
  <c r="W103" i="20"/>
  <c r="R103" i="20"/>
  <c r="Q103" i="20"/>
  <c r="O103" i="20"/>
  <c r="N103" i="20"/>
  <c r="L103" i="20"/>
  <c r="K103" i="20"/>
  <c r="H103" i="20"/>
  <c r="AA103" i="20" s="1"/>
  <c r="AL102" i="20"/>
  <c r="AK102" i="20"/>
  <c r="AI102" i="20"/>
  <c r="AE102" i="20"/>
  <c r="Y102" i="20"/>
  <c r="W102" i="20"/>
  <c r="AB102" i="20" s="1"/>
  <c r="R102" i="20"/>
  <c r="Q102" i="20"/>
  <c r="O102" i="20"/>
  <c r="N102" i="20"/>
  <c r="L102" i="20"/>
  <c r="K102" i="20"/>
  <c r="H102" i="20"/>
  <c r="AA102" i="20" s="1"/>
  <c r="AK101" i="20"/>
  <c r="Q101" i="20"/>
  <c r="N101" i="20"/>
  <c r="K101" i="20"/>
  <c r="H101" i="20"/>
  <c r="AL100" i="20"/>
  <c r="AK100" i="20"/>
  <c r="AI100" i="20"/>
  <c r="AE100" i="20"/>
  <c r="Y100" i="20"/>
  <c r="W100" i="20"/>
  <c r="R100" i="20"/>
  <c r="Q100" i="20"/>
  <c r="O100" i="20"/>
  <c r="N100" i="20"/>
  <c r="L100" i="20"/>
  <c r="K100" i="20"/>
  <c r="H100" i="20"/>
  <c r="AA100" i="20" s="1"/>
  <c r="AL99" i="20"/>
  <c r="AK99" i="20"/>
  <c r="AI99" i="20"/>
  <c r="AE99" i="20"/>
  <c r="Y99" i="20"/>
  <c r="W99" i="20"/>
  <c r="R99" i="20"/>
  <c r="Q99" i="20"/>
  <c r="O99" i="20"/>
  <c r="N99" i="20"/>
  <c r="L99" i="20"/>
  <c r="K99" i="20"/>
  <c r="H99" i="20"/>
  <c r="AA99" i="20" s="1"/>
  <c r="G98" i="20"/>
  <c r="AL98" i="20" s="1"/>
  <c r="AK98" i="20"/>
  <c r="Q98" i="20"/>
  <c r="N98" i="20"/>
  <c r="K98" i="20"/>
  <c r="H98" i="20"/>
  <c r="G97" i="20"/>
  <c r="O97" i="20" s="1"/>
  <c r="AK97" i="20"/>
  <c r="Q97" i="20"/>
  <c r="N97" i="20"/>
  <c r="K97" i="20"/>
  <c r="H97" i="20"/>
  <c r="G95" i="20"/>
  <c r="AK95" i="20" s="1"/>
  <c r="G94" i="20"/>
  <c r="AI94" i="20" s="1"/>
  <c r="G93" i="20"/>
  <c r="AI93" i="20" s="1"/>
  <c r="AI96" i="20"/>
  <c r="AF96" i="20"/>
  <c r="Z96" i="20"/>
  <c r="W96" i="20"/>
  <c r="R96" i="20"/>
  <c r="O96" i="20"/>
  <c r="L96" i="20"/>
  <c r="H96" i="20"/>
  <c r="N96" i="20" s="1"/>
  <c r="AL95" i="20"/>
  <c r="R95" i="20"/>
  <c r="O95" i="20"/>
  <c r="L95" i="20"/>
  <c r="H95" i="20"/>
  <c r="AL94" i="20"/>
  <c r="R94" i="20"/>
  <c r="O94" i="20"/>
  <c r="L94" i="20"/>
  <c r="H94" i="20"/>
  <c r="R93" i="20"/>
  <c r="O93" i="20"/>
  <c r="L93" i="20"/>
  <c r="H93" i="20"/>
  <c r="AL93" i="20"/>
  <c r="AI90" i="20"/>
  <c r="AI91" i="20"/>
  <c r="AF91" i="20"/>
  <c r="Z91" i="20"/>
  <c r="W91" i="20"/>
  <c r="R91" i="20"/>
  <c r="O91" i="20"/>
  <c r="L91" i="20"/>
  <c r="H91" i="20"/>
  <c r="AL90" i="20"/>
  <c r="R90" i="20"/>
  <c r="O90" i="20"/>
  <c r="L90" i="20"/>
  <c r="H90" i="20"/>
  <c r="AI89" i="20"/>
  <c r="AL89" i="20"/>
  <c r="R89" i="20"/>
  <c r="O89" i="20"/>
  <c r="L89" i="20"/>
  <c r="H89" i="20"/>
  <c r="AL88" i="20"/>
  <c r="AK88" i="20"/>
  <c r="AI88" i="20"/>
  <c r="AE88" i="20"/>
  <c r="Y88" i="20"/>
  <c r="W88" i="20"/>
  <c r="R88" i="20"/>
  <c r="Q88" i="20"/>
  <c r="O88" i="20"/>
  <c r="N88" i="20"/>
  <c r="L88" i="20"/>
  <c r="K88" i="20"/>
  <c r="H88" i="20"/>
  <c r="AA88" i="20" s="1"/>
  <c r="G87" i="20"/>
  <c r="AI87" i="20" s="1"/>
  <c r="AK87" i="20"/>
  <c r="Q87" i="20"/>
  <c r="N87" i="20"/>
  <c r="K87" i="20"/>
  <c r="H87" i="20"/>
  <c r="G84" i="20"/>
  <c r="R84" i="20" s="1"/>
  <c r="G83" i="20"/>
  <c r="AO83" i="20" s="1"/>
  <c r="AK84" i="20"/>
  <c r="AE84" i="20"/>
  <c r="AB84" i="20"/>
  <c r="Q84" i="20"/>
  <c r="N84" i="20"/>
  <c r="K84" i="20"/>
  <c r="I84" i="20"/>
  <c r="H84" i="20"/>
  <c r="AF84" i="20" s="1"/>
  <c r="AK83" i="20"/>
  <c r="AE83" i="20"/>
  <c r="AB83" i="20"/>
  <c r="Q83" i="20"/>
  <c r="N83" i="20"/>
  <c r="K83" i="20"/>
  <c r="I83" i="20"/>
  <c r="H83" i="20"/>
  <c r="AF83" i="20" s="1"/>
  <c r="AL82" i="20"/>
  <c r="AK82" i="20"/>
  <c r="AI82" i="20"/>
  <c r="AE82" i="20"/>
  <c r="Y82" i="20"/>
  <c r="W82" i="20"/>
  <c r="R82" i="20"/>
  <c r="Q82" i="20"/>
  <c r="O82" i="20"/>
  <c r="N82" i="20"/>
  <c r="L82" i="20"/>
  <c r="K82" i="20"/>
  <c r="H82" i="20"/>
  <c r="AA82" i="20" s="1"/>
  <c r="AL81" i="20"/>
  <c r="AK81" i="20"/>
  <c r="AI81" i="20"/>
  <c r="AE81" i="20"/>
  <c r="Y81" i="20"/>
  <c r="W81" i="20"/>
  <c r="R81" i="20"/>
  <c r="Q81" i="20"/>
  <c r="O81" i="20"/>
  <c r="N81" i="20"/>
  <c r="L81" i="20"/>
  <c r="K81" i="20"/>
  <c r="H81" i="20"/>
  <c r="AA81" i="20" s="1"/>
  <c r="G80" i="20"/>
  <c r="AL80" i="20" s="1"/>
  <c r="AK80" i="20"/>
  <c r="Q80" i="20"/>
  <c r="N80" i="20"/>
  <c r="K80" i="20"/>
  <c r="H80" i="20"/>
  <c r="AL79" i="20"/>
  <c r="AK79" i="20"/>
  <c r="AI79" i="20"/>
  <c r="AE79" i="20"/>
  <c r="Y79" i="20"/>
  <c r="W79" i="20"/>
  <c r="R79" i="20"/>
  <c r="Q79" i="20"/>
  <c r="O79" i="20"/>
  <c r="N79" i="20"/>
  <c r="L79" i="20"/>
  <c r="K79" i="20"/>
  <c r="H79" i="20"/>
  <c r="AA79" i="20" s="1"/>
  <c r="AL78" i="20"/>
  <c r="AK78" i="20"/>
  <c r="AI78" i="20"/>
  <c r="AE78" i="20"/>
  <c r="Y78" i="20"/>
  <c r="W78" i="20"/>
  <c r="R78" i="20"/>
  <c r="Q78" i="20"/>
  <c r="O78" i="20"/>
  <c r="N78" i="20"/>
  <c r="L78" i="20"/>
  <c r="K78" i="20"/>
  <c r="H78" i="20"/>
  <c r="AA78" i="20" s="1"/>
  <c r="AI77" i="20"/>
  <c r="AK77" i="20"/>
  <c r="Q77" i="20"/>
  <c r="N77" i="20"/>
  <c r="K77" i="20"/>
  <c r="H77" i="20"/>
  <c r="G76" i="20"/>
  <c r="AI76" i="20" s="1"/>
  <c r="AK76" i="20"/>
  <c r="Q76" i="20"/>
  <c r="N76" i="20"/>
  <c r="K76" i="20"/>
  <c r="H76" i="20"/>
  <c r="AI75" i="20"/>
  <c r="AF75" i="20"/>
  <c r="Z75" i="20"/>
  <c r="W75" i="20"/>
  <c r="R75" i="20"/>
  <c r="O75" i="20"/>
  <c r="L75" i="20"/>
  <c r="H75" i="20"/>
  <c r="N75" i="20" s="1"/>
  <c r="AI74" i="20"/>
  <c r="AL74" i="20"/>
  <c r="R74" i="20"/>
  <c r="O74" i="20"/>
  <c r="L74" i="20"/>
  <c r="H74" i="20"/>
  <c r="G73" i="20"/>
  <c r="AL73" i="20"/>
  <c r="R73" i="20"/>
  <c r="O73" i="20"/>
  <c r="L73" i="20"/>
  <c r="H73" i="20"/>
  <c r="G72" i="20"/>
  <c r="AL72" i="20" s="1"/>
  <c r="AK72" i="20"/>
  <c r="Q72" i="20"/>
  <c r="N72" i="20"/>
  <c r="K72" i="20"/>
  <c r="H72" i="20"/>
  <c r="AI71" i="20"/>
  <c r="AF71" i="20"/>
  <c r="Z71" i="20"/>
  <c r="W71" i="20"/>
  <c r="AB71" i="20" s="1"/>
  <c r="R71" i="20"/>
  <c r="O71" i="20"/>
  <c r="L71" i="20"/>
  <c r="H71" i="20"/>
  <c r="AL70" i="20"/>
  <c r="R70" i="20"/>
  <c r="O70" i="20"/>
  <c r="L70" i="20"/>
  <c r="H70" i="20"/>
  <c r="G69" i="20"/>
  <c r="AI69" i="20" s="1"/>
  <c r="R69" i="20"/>
  <c r="O69" i="20"/>
  <c r="L69" i="20"/>
  <c r="H69" i="20"/>
  <c r="AL69" i="20"/>
  <c r="AL68" i="20"/>
  <c r="AK68" i="20"/>
  <c r="AI68" i="20"/>
  <c r="W68" i="20"/>
  <c r="AE68" i="20" s="1"/>
  <c r="R68" i="20"/>
  <c r="O68" i="20"/>
  <c r="L68" i="20"/>
  <c r="H68" i="20"/>
  <c r="Q68" i="20" s="1"/>
  <c r="G67" i="20"/>
  <c r="AL67" i="20" s="1"/>
  <c r="Q67" i="20"/>
  <c r="N67" i="20"/>
  <c r="K67" i="20"/>
  <c r="H67" i="20"/>
  <c r="AK67" i="20"/>
  <c r="G64" i="20"/>
  <c r="O64" i="20" s="1"/>
  <c r="AK64" i="20"/>
  <c r="AE64" i="20"/>
  <c r="AB64" i="20"/>
  <c r="Q64" i="20"/>
  <c r="N64" i="20"/>
  <c r="K64" i="20"/>
  <c r="H64" i="20"/>
  <c r="AF64" i="20" s="1"/>
  <c r="AI63" i="20"/>
  <c r="AK63" i="20"/>
  <c r="AE63" i="20"/>
  <c r="AB63" i="20"/>
  <c r="Q63" i="20"/>
  <c r="N63" i="20"/>
  <c r="K63" i="20"/>
  <c r="H63" i="20"/>
  <c r="AF63" i="20" s="1"/>
  <c r="AL62" i="20"/>
  <c r="AK62" i="20"/>
  <c r="AI62" i="20"/>
  <c r="AE62" i="20"/>
  <c r="Y62" i="20"/>
  <c r="W62" i="20"/>
  <c r="R62" i="20"/>
  <c r="Q62" i="20"/>
  <c r="O62" i="20"/>
  <c r="N62" i="20"/>
  <c r="L62" i="20"/>
  <c r="K62" i="20"/>
  <c r="H62" i="20"/>
  <c r="AA62" i="20" s="1"/>
  <c r="AL61" i="20"/>
  <c r="AK61" i="20"/>
  <c r="AI61" i="20"/>
  <c r="W61" i="20"/>
  <c r="AE61" i="20" s="1"/>
  <c r="R61" i="20"/>
  <c r="O61" i="20"/>
  <c r="L61" i="20"/>
  <c r="H61" i="20"/>
  <c r="Q61" i="20" s="1"/>
  <c r="G60" i="20"/>
  <c r="AK60" i="20"/>
  <c r="Q60" i="20"/>
  <c r="N60" i="20"/>
  <c r="K60" i="20"/>
  <c r="H60" i="20"/>
  <c r="AL59" i="20"/>
  <c r="AK59" i="20"/>
  <c r="AI59" i="20"/>
  <c r="W59" i="20"/>
  <c r="AE59" i="20" s="1"/>
  <c r="R59" i="20"/>
  <c r="O59" i="20"/>
  <c r="L59" i="20"/>
  <c r="H59" i="20"/>
  <c r="Q59" i="20" s="1"/>
  <c r="AL58" i="20"/>
  <c r="AK58" i="20"/>
  <c r="AI58" i="20"/>
  <c r="W58" i="20"/>
  <c r="AE58" i="20" s="1"/>
  <c r="R58" i="20"/>
  <c r="O58" i="20"/>
  <c r="L58" i="20"/>
  <c r="H58" i="20"/>
  <c r="Q58" i="20" s="1"/>
  <c r="G57" i="20"/>
  <c r="K57" i="20" s="1"/>
  <c r="N57" i="20"/>
  <c r="H57" i="20"/>
  <c r="AI56" i="20"/>
  <c r="AF56" i="20"/>
  <c r="Z56" i="20"/>
  <c r="W56" i="20"/>
  <c r="R56" i="20"/>
  <c r="O56" i="20"/>
  <c r="L56" i="20"/>
  <c r="H56" i="20"/>
  <c r="G55" i="20"/>
  <c r="AI55" i="20" s="1"/>
  <c r="AL55" i="20"/>
  <c r="R55" i="20"/>
  <c r="O55" i="20"/>
  <c r="L55" i="20"/>
  <c r="H55" i="20"/>
  <c r="AI54" i="20"/>
  <c r="AF54" i="20"/>
  <c r="Z54" i="20"/>
  <c r="W54" i="20"/>
  <c r="R54" i="20"/>
  <c r="O54" i="20"/>
  <c r="L54" i="20"/>
  <c r="H54" i="20"/>
  <c r="N54" i="20" s="1"/>
  <c r="AI48" i="20"/>
  <c r="G53" i="20"/>
  <c r="AI53" i="20" s="1"/>
  <c r="AL53" i="20"/>
  <c r="R53" i="20"/>
  <c r="O53" i="20"/>
  <c r="L53" i="20"/>
  <c r="H53" i="20"/>
  <c r="G52" i="20"/>
  <c r="AI52" i="20" s="1"/>
  <c r="AL52" i="20"/>
  <c r="R52" i="20"/>
  <c r="O52" i="20"/>
  <c r="L52" i="20"/>
  <c r="H52" i="20"/>
  <c r="AI49" i="20"/>
  <c r="AF49" i="20"/>
  <c r="Z49" i="20"/>
  <c r="W49" i="20"/>
  <c r="R49" i="20"/>
  <c r="O49" i="20"/>
  <c r="L49" i="20"/>
  <c r="H49" i="20"/>
  <c r="K49" i="20" s="1"/>
  <c r="AL48" i="20"/>
  <c r="R48" i="20"/>
  <c r="O48" i="20"/>
  <c r="L48" i="20"/>
  <c r="H48" i="20"/>
  <c r="AN47" i="20"/>
  <c r="AL47" i="20"/>
  <c r="AK47" i="20"/>
  <c r="AI47" i="20"/>
  <c r="W47" i="20"/>
  <c r="AF47" i="20" s="1"/>
  <c r="R47" i="20"/>
  <c r="O47" i="20"/>
  <c r="L47" i="20"/>
  <c r="H47" i="20"/>
  <c r="AA47" i="20" s="1"/>
  <c r="AI46" i="20"/>
  <c r="AF46" i="20"/>
  <c r="Z46" i="20"/>
  <c r="W46" i="20"/>
  <c r="R46" i="20"/>
  <c r="O46" i="20"/>
  <c r="L46" i="20"/>
  <c r="H46" i="20"/>
  <c r="N46" i="20" s="1"/>
  <c r="AI45" i="20"/>
  <c r="AF45" i="20"/>
  <c r="Z45" i="20"/>
  <c r="W45" i="20"/>
  <c r="R45" i="20"/>
  <c r="O45" i="20"/>
  <c r="L45" i="20"/>
  <c r="H45" i="20"/>
  <c r="N45" i="20" s="1"/>
  <c r="G44" i="20"/>
  <c r="AI44" i="20" s="1"/>
  <c r="AL44" i="20"/>
  <c r="R44" i="20"/>
  <c r="O44" i="20"/>
  <c r="L44" i="20"/>
  <c r="H44" i="20"/>
  <c r="AN43" i="20"/>
  <c r="AL43" i="20"/>
  <c r="AK43" i="20"/>
  <c r="AI43" i="20"/>
  <c r="W43" i="20"/>
  <c r="AF43" i="20" s="1"/>
  <c r="R43" i="20"/>
  <c r="O43" i="20"/>
  <c r="L43" i="20"/>
  <c r="H43" i="20"/>
  <c r="AA43" i="20" s="1"/>
  <c r="G42" i="20"/>
  <c r="AI42" i="20" s="1"/>
  <c r="AL42" i="20"/>
  <c r="R42" i="20"/>
  <c r="O42" i="20"/>
  <c r="L42" i="20"/>
  <c r="H42" i="20"/>
  <c r="S52" i="4" l="1"/>
  <c r="AO52" i="4" s="1"/>
  <c r="N198" i="20"/>
  <c r="AK15" i="21"/>
  <c r="AT15" i="21"/>
  <c r="AK10" i="21"/>
  <c r="AT10" i="21"/>
  <c r="S44" i="4"/>
  <c r="AI206" i="20"/>
  <c r="AK206" i="20"/>
  <c r="AK20" i="21"/>
  <c r="AT20" i="21"/>
  <c r="AI211" i="20"/>
  <c r="AK211" i="20"/>
  <c r="N251" i="20"/>
  <c r="AI24" i="21"/>
  <c r="AT24" i="21"/>
  <c r="S42" i="4"/>
  <c r="AI208" i="20"/>
  <c r="AK208" i="20"/>
  <c r="N247" i="20"/>
  <c r="AK26" i="21"/>
  <c r="AT26" i="21"/>
  <c r="AT275" i="21" s="1"/>
  <c r="N68" i="16" s="1"/>
  <c r="E5" i="44" s="1"/>
  <c r="S219" i="22"/>
  <c r="S114" i="22"/>
  <c r="T98" i="22"/>
  <c r="S218" i="21"/>
  <c r="K245" i="20"/>
  <c r="S60" i="4"/>
  <c r="AK185" i="20"/>
  <c r="AK69" i="20"/>
  <c r="AK137" i="20"/>
  <c r="AA185" i="20"/>
  <c r="W194" i="20"/>
  <c r="S140" i="22"/>
  <c r="S124" i="22"/>
  <c r="S66" i="4"/>
  <c r="AO66" i="4" s="1"/>
  <c r="S201" i="20"/>
  <c r="S35" i="22"/>
  <c r="S208" i="22"/>
  <c r="T44" i="22"/>
  <c r="T226" i="22"/>
  <c r="S199" i="22"/>
  <c r="S30" i="22"/>
  <c r="S244" i="21"/>
  <c r="AP244" i="21" s="1"/>
  <c r="S144" i="21"/>
  <c r="AI245" i="20"/>
  <c r="AK178" i="20"/>
  <c r="K185" i="20"/>
  <c r="N208" i="20"/>
  <c r="AL227" i="20"/>
  <c r="N230" i="20"/>
  <c r="N245" i="20"/>
  <c r="K251" i="20"/>
  <c r="W268" i="20"/>
  <c r="AE268" i="20" s="1"/>
  <c r="K248" i="20"/>
  <c r="S109" i="22"/>
  <c r="AO273" i="22"/>
  <c r="T65" i="22"/>
  <c r="S216" i="22"/>
  <c r="S207" i="22"/>
  <c r="S73" i="22"/>
  <c r="S133" i="22"/>
  <c r="S11" i="22"/>
  <c r="Z273" i="22"/>
  <c r="L273" i="22"/>
  <c r="AB199" i="22"/>
  <c r="S54" i="22"/>
  <c r="S72" i="22"/>
  <c r="AF273" i="22"/>
  <c r="S52" i="22"/>
  <c r="S151" i="22"/>
  <c r="AP151" i="22" s="1"/>
  <c r="O273" i="22"/>
  <c r="S205" i="22"/>
  <c r="S187" i="22"/>
  <c r="AA273" i="22"/>
  <c r="S51" i="22"/>
  <c r="R273" i="22"/>
  <c r="S239" i="22"/>
  <c r="N273" i="22"/>
  <c r="S155" i="22"/>
  <c r="AP155" i="22" s="1"/>
  <c r="T66" i="22"/>
  <c r="S25" i="22"/>
  <c r="AP25" i="22" s="1"/>
  <c r="S7" i="22"/>
  <c r="Q273" i="22"/>
  <c r="S262" i="22"/>
  <c r="S111" i="22"/>
  <c r="S255" i="22"/>
  <c r="S196" i="22"/>
  <c r="S158" i="22"/>
  <c r="AP158" i="22" s="1"/>
  <c r="AE199" i="22"/>
  <c r="S204" i="22"/>
  <c r="S125" i="22"/>
  <c r="S211" i="22"/>
  <c r="S172" i="22"/>
  <c r="AI273" i="22"/>
  <c r="T74" i="22"/>
  <c r="T220" i="22"/>
  <c r="K273" i="22"/>
  <c r="S55" i="22"/>
  <c r="S20" i="22"/>
  <c r="AP20" i="22" s="1"/>
  <c r="Q170" i="20"/>
  <c r="K197" i="20"/>
  <c r="K230" i="20"/>
  <c r="Q200" i="20"/>
  <c r="Q267" i="20"/>
  <c r="N242" i="20"/>
  <c r="T269" i="20"/>
  <c r="AF214" i="20"/>
  <c r="AF228" i="20"/>
  <c r="K239" i="20"/>
  <c r="Y270" i="20"/>
  <c r="T215" i="20"/>
  <c r="Y240" i="20"/>
  <c r="Z215" i="20"/>
  <c r="AF229" i="20"/>
  <c r="Q245" i="20"/>
  <c r="T270" i="20"/>
  <c r="Q130" i="20"/>
  <c r="N183" i="20"/>
  <c r="T268" i="20"/>
  <c r="S229" i="21"/>
  <c r="F23" i="12"/>
  <c r="E24" i="12"/>
  <c r="E36" i="12"/>
  <c r="F35" i="12"/>
  <c r="S69" i="4"/>
  <c r="AO69" i="4" s="1"/>
  <c r="S62" i="4"/>
  <c r="S59" i="4"/>
  <c r="S49" i="4"/>
  <c r="AO49" i="4" s="1"/>
  <c r="S61" i="4"/>
  <c r="S43" i="4"/>
  <c r="S45" i="4"/>
  <c r="S27" i="4"/>
  <c r="S8" i="22"/>
  <c r="S15" i="22"/>
  <c r="S244" i="22"/>
  <c r="AP244" i="22" s="1"/>
  <c r="S77" i="22"/>
  <c r="T85" i="22"/>
  <c r="S118" i="22"/>
  <c r="T82" i="22"/>
  <c r="T78" i="22"/>
  <c r="T105" i="22"/>
  <c r="S214" i="22"/>
  <c r="S236" i="22"/>
  <c r="S95" i="22"/>
  <c r="S33" i="22"/>
  <c r="S146" i="22"/>
  <c r="T106" i="22"/>
  <c r="S43" i="22"/>
  <c r="S233" i="22"/>
  <c r="T89" i="22"/>
  <c r="S49" i="22"/>
  <c r="T45" i="22"/>
  <c r="T99" i="22"/>
  <c r="S91" i="22"/>
  <c r="S186" i="22"/>
  <c r="S42" i="22"/>
  <c r="S71" i="22"/>
  <c r="S251" i="22"/>
  <c r="AP251" i="22" s="1"/>
  <c r="T79" i="22"/>
  <c r="S141" i="22"/>
  <c r="T59" i="22"/>
  <c r="S157" i="22"/>
  <c r="AP157" i="22" s="1"/>
  <c r="S24" i="22"/>
  <c r="AP24" i="22" s="1"/>
  <c r="AB265" i="22"/>
  <c r="AE265" i="22"/>
  <c r="S254" i="22"/>
  <c r="S97" i="22"/>
  <c r="S76" i="22"/>
  <c r="T69" i="22"/>
  <c r="T102" i="22"/>
  <c r="S238" i="22"/>
  <c r="S56" i="22"/>
  <c r="S212" i="22"/>
  <c r="S229" i="22"/>
  <c r="T230" i="22"/>
  <c r="S129" i="22"/>
  <c r="T86" i="22"/>
  <c r="S57" i="22"/>
  <c r="S249" i="22"/>
  <c r="AP249" i="22" s="1"/>
  <c r="S19" i="22"/>
  <c r="AP19" i="22" s="1"/>
  <c r="T41" i="22"/>
  <c r="S38" i="22"/>
  <c r="S237" i="22"/>
  <c r="S217" i="22"/>
  <c r="S14" i="22"/>
  <c r="S75" i="22"/>
  <c r="S195" i="22"/>
  <c r="S10" i="22"/>
  <c r="S194" i="22"/>
  <c r="S256" i="22"/>
  <c r="S245" i="22"/>
  <c r="AP245" i="22" s="1"/>
  <c r="S110" i="22"/>
  <c r="S193" i="22"/>
  <c r="S242" i="22"/>
  <c r="AP242" i="22" s="1"/>
  <c r="S9" i="22"/>
  <c r="S34" i="22"/>
  <c r="S113" i="22"/>
  <c r="S18" i="22"/>
  <c r="AP18" i="22" s="1"/>
  <c r="S123" i="22"/>
  <c r="S122" i="22"/>
  <c r="S50" i="22"/>
  <c r="S132" i="22"/>
  <c r="AE189" i="22"/>
  <c r="AB189" i="22"/>
  <c r="S145" i="22"/>
  <c r="AE134" i="22"/>
  <c r="AB134" i="22"/>
  <c r="S149" i="22"/>
  <c r="AP149" i="22" s="1"/>
  <c r="Y269" i="22"/>
  <c r="AE269" i="22"/>
  <c r="AB269" i="22"/>
  <c r="S152" i="22"/>
  <c r="AP152" i="22" s="1"/>
  <c r="S37" i="22"/>
  <c r="S257" i="22"/>
  <c r="S213" i="22"/>
  <c r="S263" i="22"/>
  <c r="S171" i="22"/>
  <c r="S243" i="22"/>
  <c r="AP243" i="22" s="1"/>
  <c r="Y134" i="22"/>
  <c r="S135" i="22"/>
  <c r="S134" i="22"/>
  <c r="S96" i="22"/>
  <c r="S250" i="22"/>
  <c r="AP250" i="22" s="1"/>
  <c r="AB257" i="22"/>
  <c r="AE257" i="22"/>
  <c r="Y257" i="22"/>
  <c r="S27" i="22"/>
  <c r="AP27" i="22" s="1"/>
  <c r="S248" i="22"/>
  <c r="AP248" i="22" s="1"/>
  <c r="S121" i="22"/>
  <c r="S92" i="22"/>
  <c r="S156" i="22"/>
  <c r="AP156" i="22" s="1"/>
  <c r="S21" i="22"/>
  <c r="AP21" i="22" s="1"/>
  <c r="S93" i="22"/>
  <c r="S179" i="22"/>
  <c r="S36" i="22"/>
  <c r="T223" i="22"/>
  <c r="T62" i="22"/>
  <c r="S58" i="22"/>
  <c r="S112" i="22"/>
  <c r="S270" i="22"/>
  <c r="S26" i="22"/>
  <c r="AP26" i="22" s="1"/>
  <c r="S271" i="22"/>
  <c r="S136" i="22"/>
  <c r="S150" i="22"/>
  <c r="AP150" i="22" s="1"/>
  <c r="S228" i="22"/>
  <c r="AE183" i="22"/>
  <c r="AB183" i="22"/>
  <c r="S94" i="22"/>
  <c r="S218" i="22"/>
  <c r="S198" i="22"/>
  <c r="S180" i="22"/>
  <c r="AE136" i="22"/>
  <c r="AB136" i="22"/>
  <c r="Y136" i="22"/>
  <c r="AB175" i="22"/>
  <c r="AE175" i="22"/>
  <c r="S139" i="22"/>
  <c r="S257" i="21"/>
  <c r="AB266" i="21"/>
  <c r="AE266" i="21"/>
  <c r="S158" i="21"/>
  <c r="AP158" i="21" s="1"/>
  <c r="S167" i="21"/>
  <c r="S212" i="21"/>
  <c r="S250" i="21"/>
  <c r="AP250" i="21" s="1"/>
  <c r="S230" i="21"/>
  <c r="S179" i="21"/>
  <c r="S209" i="21"/>
  <c r="S251" i="21"/>
  <c r="AP251" i="21" s="1"/>
  <c r="Y186" i="21"/>
  <c r="AE186" i="21"/>
  <c r="AB192" i="21"/>
  <c r="S215" i="21"/>
  <c r="S243" i="21"/>
  <c r="AP243" i="21" s="1"/>
  <c r="S166" i="21"/>
  <c r="S154" i="21"/>
  <c r="AP154" i="21" s="1"/>
  <c r="S164" i="21"/>
  <c r="S169" i="21"/>
  <c r="S190" i="21"/>
  <c r="T229" i="21"/>
  <c r="S189" i="21"/>
  <c r="T227" i="21"/>
  <c r="S182" i="21"/>
  <c r="S213" i="21"/>
  <c r="S132" i="21"/>
  <c r="S207" i="21"/>
  <c r="S153" i="21"/>
  <c r="AP153" i="21" s="1"/>
  <c r="S206" i="21"/>
  <c r="S255" i="21"/>
  <c r="S237" i="21"/>
  <c r="Q30" i="21"/>
  <c r="S160" i="21"/>
  <c r="AP160" i="21" s="1"/>
  <c r="S234" i="21"/>
  <c r="S198" i="21"/>
  <c r="AF81" i="20"/>
  <c r="AF78" i="20"/>
  <c r="S196" i="21"/>
  <c r="S271" i="21"/>
  <c r="S272" i="21"/>
  <c r="T68" i="21"/>
  <c r="S149" i="21"/>
  <c r="S168" i="21"/>
  <c r="S128" i="21"/>
  <c r="S183" i="21"/>
  <c r="S239" i="21"/>
  <c r="S220" i="21"/>
  <c r="S259" i="21"/>
  <c r="S165" i="21"/>
  <c r="Q14" i="21"/>
  <c r="S245" i="21"/>
  <c r="AP245" i="21" s="1"/>
  <c r="S199" i="21"/>
  <c r="S148" i="21"/>
  <c r="S161" i="21"/>
  <c r="AP161" i="21" s="1"/>
  <c r="S170" i="21"/>
  <c r="S174" i="21"/>
  <c r="S246" i="21"/>
  <c r="AP246" i="21" s="1"/>
  <c r="T231" i="21"/>
  <c r="T224" i="21"/>
  <c r="Y192" i="21"/>
  <c r="S205" i="21"/>
  <c r="S175" i="21"/>
  <c r="Y165" i="21"/>
  <c r="AB165" i="21"/>
  <c r="AB259" i="21"/>
  <c r="AE259" i="21"/>
  <c r="S256" i="21"/>
  <c r="S201" i="21"/>
  <c r="S219" i="21"/>
  <c r="S200" i="21"/>
  <c r="S263" i="21"/>
  <c r="AE201" i="21"/>
  <c r="AB201" i="21"/>
  <c r="S238" i="21"/>
  <c r="S197" i="21"/>
  <c r="S217" i="21"/>
  <c r="S214" i="21"/>
  <c r="S208" i="21"/>
  <c r="S240" i="21"/>
  <c r="S249" i="21"/>
  <c r="AP249" i="21" s="1"/>
  <c r="Y259" i="21"/>
  <c r="S252" i="21"/>
  <c r="AP252" i="21" s="1"/>
  <c r="S264" i="21"/>
  <c r="T221" i="21"/>
  <c r="S56" i="21"/>
  <c r="S136" i="21"/>
  <c r="S138" i="21"/>
  <c r="S142" i="21"/>
  <c r="AE137" i="21"/>
  <c r="AB137" i="21"/>
  <c r="S125" i="21"/>
  <c r="S94" i="21"/>
  <c r="S124" i="21"/>
  <c r="S143" i="21"/>
  <c r="N20" i="21"/>
  <c r="S135" i="21"/>
  <c r="S137" i="21"/>
  <c r="S155" i="21"/>
  <c r="AP155" i="21" s="1"/>
  <c r="S139" i="21"/>
  <c r="S159" i="21"/>
  <c r="AP159" i="21" s="1"/>
  <c r="S152" i="21"/>
  <c r="AP152" i="21" s="1"/>
  <c r="S79" i="21"/>
  <c r="S98" i="21"/>
  <c r="N26" i="21"/>
  <c r="S61" i="21"/>
  <c r="S126" i="21"/>
  <c r="Q15" i="21"/>
  <c r="S127" i="21"/>
  <c r="S117" i="21"/>
  <c r="S113" i="21"/>
  <c r="S97" i="21"/>
  <c r="T45" i="21"/>
  <c r="T46" i="21"/>
  <c r="T88" i="21"/>
  <c r="T105" i="21"/>
  <c r="S39" i="21"/>
  <c r="S59" i="21"/>
  <c r="T77" i="21"/>
  <c r="K27" i="21"/>
  <c r="S50" i="21"/>
  <c r="T65" i="21"/>
  <c r="S76" i="21"/>
  <c r="T109" i="21"/>
  <c r="T62" i="21"/>
  <c r="S75" i="21"/>
  <c r="S74" i="21"/>
  <c r="T108" i="21"/>
  <c r="S99" i="21"/>
  <c r="N30" i="21"/>
  <c r="T81" i="21"/>
  <c r="T43" i="21"/>
  <c r="S100" i="21"/>
  <c r="T101" i="21"/>
  <c r="AI26" i="21"/>
  <c r="S115" i="21"/>
  <c r="S112" i="21"/>
  <c r="S52" i="21"/>
  <c r="S54" i="21"/>
  <c r="Q43" i="21"/>
  <c r="S43" i="21" s="1"/>
  <c r="S80" i="21"/>
  <c r="T92" i="21"/>
  <c r="S121" i="21"/>
  <c r="N14" i="21"/>
  <c r="T69" i="21"/>
  <c r="S114" i="21"/>
  <c r="S47" i="21"/>
  <c r="S51" i="21"/>
  <c r="S60" i="21"/>
  <c r="S95" i="21"/>
  <c r="S96" i="21"/>
  <c r="T102" i="21"/>
  <c r="S78" i="21"/>
  <c r="T72" i="21"/>
  <c r="T82" i="21"/>
  <c r="T89" i="21"/>
  <c r="T85" i="21"/>
  <c r="S58" i="21"/>
  <c r="T25" i="21"/>
  <c r="N24" i="21"/>
  <c r="Q24" i="21"/>
  <c r="S34" i="21"/>
  <c r="Q10" i="21"/>
  <c r="K21" i="21"/>
  <c r="T19" i="21"/>
  <c r="Q20" i="21"/>
  <c r="Y25" i="21"/>
  <c r="S46" i="21"/>
  <c r="T42" i="21"/>
  <c r="S37" i="21"/>
  <c r="T24" i="21"/>
  <c r="K15" i="21"/>
  <c r="S35" i="21"/>
  <c r="N21" i="21"/>
  <c r="Y19" i="21"/>
  <c r="K20" i="21"/>
  <c r="AI30" i="21"/>
  <c r="S38" i="21"/>
  <c r="AK14" i="21"/>
  <c r="N10" i="21"/>
  <c r="K18" i="21"/>
  <c r="K30" i="21"/>
  <c r="N27" i="21"/>
  <c r="K14" i="21"/>
  <c r="N18" i="21"/>
  <c r="AI20" i="21"/>
  <c r="N15" i="21"/>
  <c r="Q27" i="21"/>
  <c r="T27" i="21"/>
  <c r="S36" i="21"/>
  <c r="AI27" i="21"/>
  <c r="K24" i="21"/>
  <c r="T26" i="21"/>
  <c r="S45" i="21"/>
  <c r="S44" i="21"/>
  <c r="S42" i="21"/>
  <c r="T30" i="21"/>
  <c r="Q26" i="21"/>
  <c r="AA25" i="21"/>
  <c r="K25" i="21"/>
  <c r="Q25" i="21"/>
  <c r="K26" i="21"/>
  <c r="AK24" i="21"/>
  <c r="AK27" i="21"/>
  <c r="N25" i="21"/>
  <c r="T21" i="21"/>
  <c r="T20" i="21"/>
  <c r="T18" i="21"/>
  <c r="Q18" i="21"/>
  <c r="Q19" i="21"/>
  <c r="Q21" i="21"/>
  <c r="N19" i="21"/>
  <c r="AI18" i="21"/>
  <c r="AI21" i="21"/>
  <c r="K19" i="21"/>
  <c r="AK18" i="21"/>
  <c r="AK21" i="21"/>
  <c r="T15" i="21"/>
  <c r="AI15" i="21"/>
  <c r="T14" i="21"/>
  <c r="AI14" i="21"/>
  <c r="T10" i="21"/>
  <c r="K10" i="21"/>
  <c r="AI10" i="21"/>
  <c r="T228" i="20"/>
  <c r="Q69" i="20"/>
  <c r="AE209" i="20"/>
  <c r="T229" i="20"/>
  <c r="N197" i="20"/>
  <c r="N211" i="20"/>
  <c r="N241" i="20"/>
  <c r="T263" i="20"/>
  <c r="T256" i="20"/>
  <c r="N262" i="20"/>
  <c r="Q208" i="20"/>
  <c r="AI241" i="20"/>
  <c r="AE256" i="20"/>
  <c r="Y189" i="20"/>
  <c r="Y246" i="20"/>
  <c r="Q262" i="20"/>
  <c r="K267" i="20"/>
  <c r="T185" i="20"/>
  <c r="AK219" i="20"/>
  <c r="T258" i="20"/>
  <c r="Q185" i="20"/>
  <c r="Q188" i="20"/>
  <c r="AI197" i="20"/>
  <c r="T199" i="20"/>
  <c r="K206" i="20"/>
  <c r="N219" i="20"/>
  <c r="N236" i="20"/>
  <c r="AK239" i="20"/>
  <c r="AI262" i="20"/>
  <c r="T252" i="20"/>
  <c r="T209" i="20"/>
  <c r="S229" i="20"/>
  <c r="K262" i="20"/>
  <c r="K211" i="20"/>
  <c r="Q264" i="20"/>
  <c r="AI185" i="20"/>
  <c r="Q256" i="20"/>
  <c r="Q198" i="20"/>
  <c r="L226" i="20"/>
  <c r="K255" i="20"/>
  <c r="AE263" i="20"/>
  <c r="K236" i="20"/>
  <c r="T194" i="20"/>
  <c r="N206" i="20"/>
  <c r="K264" i="20"/>
  <c r="N267" i="20"/>
  <c r="K269" i="20"/>
  <c r="N269" i="20"/>
  <c r="AE270" i="20"/>
  <c r="Q269" i="20"/>
  <c r="N270" i="20"/>
  <c r="AA270" i="20"/>
  <c r="AB270" i="20"/>
  <c r="K270" i="20"/>
  <c r="AA268" i="20"/>
  <c r="K268" i="20"/>
  <c r="AB268" i="20"/>
  <c r="N268" i="20"/>
  <c r="AI268" i="20"/>
  <c r="Q268" i="20"/>
  <c r="T267" i="20"/>
  <c r="AK267" i="20"/>
  <c r="T264" i="20"/>
  <c r="AK264" i="20"/>
  <c r="Y263" i="20"/>
  <c r="AA263" i="20"/>
  <c r="K263" i="20"/>
  <c r="AB263" i="20"/>
  <c r="N263" i="20"/>
  <c r="T262" i="20"/>
  <c r="AI257" i="20"/>
  <c r="T240" i="20"/>
  <c r="K252" i="20"/>
  <c r="T245" i="20"/>
  <c r="Q197" i="20"/>
  <c r="Q259" i="20"/>
  <c r="AE207" i="20"/>
  <c r="AB215" i="20"/>
  <c r="Q230" i="20"/>
  <c r="Q236" i="20"/>
  <c r="Q248" i="20"/>
  <c r="AA191" i="20"/>
  <c r="N205" i="20"/>
  <c r="L224" i="20"/>
  <c r="AE235" i="20"/>
  <c r="N239" i="20"/>
  <c r="T255" i="20"/>
  <c r="AA151" i="20"/>
  <c r="N171" i="20"/>
  <c r="Q211" i="20"/>
  <c r="AF215" i="20"/>
  <c r="N234" i="20"/>
  <c r="K242" i="20"/>
  <c r="AI248" i="20"/>
  <c r="W258" i="20"/>
  <c r="AE258" i="20" s="1"/>
  <c r="N110" i="20"/>
  <c r="Q181" i="20"/>
  <c r="Q205" i="20"/>
  <c r="AA235" i="20"/>
  <c r="Q247" i="20"/>
  <c r="W252" i="20"/>
  <c r="AE252" i="20" s="1"/>
  <c r="N204" i="20"/>
  <c r="T189" i="20"/>
  <c r="Q190" i="20"/>
  <c r="K188" i="20"/>
  <c r="K198" i="20"/>
  <c r="AE205" i="20"/>
  <c r="AE210" i="20"/>
  <c r="S215" i="20"/>
  <c r="R224" i="20"/>
  <c r="T246" i="20"/>
  <c r="K219" i="20"/>
  <c r="AI183" i="20"/>
  <c r="Q207" i="20"/>
  <c r="T212" i="20"/>
  <c r="N248" i="20"/>
  <c r="Y191" i="20"/>
  <c r="K234" i="20"/>
  <c r="N252" i="20"/>
  <c r="AE194" i="20"/>
  <c r="AE212" i="20"/>
  <c r="T235" i="20"/>
  <c r="AK242" i="20"/>
  <c r="K204" i="20"/>
  <c r="Q219" i="20"/>
  <c r="T248" i="20"/>
  <c r="Q206" i="20"/>
  <c r="AI227" i="20"/>
  <c r="Q251" i="20"/>
  <c r="K200" i="20"/>
  <c r="Q210" i="20"/>
  <c r="O224" i="20"/>
  <c r="Q239" i="20"/>
  <c r="T259" i="20"/>
  <c r="T205" i="20"/>
  <c r="AI178" i="20"/>
  <c r="T190" i="20"/>
  <c r="N190" i="20"/>
  <c r="N200" i="20"/>
  <c r="AE199" i="20"/>
  <c r="Q204" i="20"/>
  <c r="K208" i="20"/>
  <c r="Q209" i="20"/>
  <c r="T225" i="20"/>
  <c r="K233" i="20"/>
  <c r="T257" i="20"/>
  <c r="AA258" i="20"/>
  <c r="K258" i="20"/>
  <c r="N258" i="20"/>
  <c r="AI258" i="20"/>
  <c r="Q258" i="20"/>
  <c r="AK255" i="20"/>
  <c r="K257" i="20"/>
  <c r="N257" i="20"/>
  <c r="N255" i="20"/>
  <c r="K256" i="20"/>
  <c r="Q257" i="20"/>
  <c r="Q255" i="20"/>
  <c r="N256" i="20"/>
  <c r="AI259" i="20"/>
  <c r="K259" i="20"/>
  <c r="N259" i="20"/>
  <c r="Y256" i="20"/>
  <c r="AB256" i="20"/>
  <c r="AA252" i="20"/>
  <c r="AI252" i="20"/>
  <c r="Q252" i="20"/>
  <c r="AI251" i="20"/>
  <c r="T251" i="20"/>
  <c r="T247" i="20"/>
  <c r="AA246" i="20"/>
  <c r="K246" i="20"/>
  <c r="N246" i="20"/>
  <c r="Q246" i="20"/>
  <c r="AK247" i="20"/>
  <c r="K247" i="20"/>
  <c r="AK245" i="20"/>
  <c r="AK248" i="20"/>
  <c r="Q241" i="20"/>
  <c r="T241" i="20"/>
  <c r="Q242" i="20"/>
  <c r="T242" i="20"/>
  <c r="T239" i="20"/>
  <c r="AK241" i="20"/>
  <c r="Q240" i="20"/>
  <c r="AI239" i="20"/>
  <c r="K241" i="20"/>
  <c r="AI242" i="20"/>
  <c r="AA240" i="20"/>
  <c r="K240" i="20"/>
  <c r="N240" i="20"/>
  <c r="T236" i="20"/>
  <c r="AK236" i="20"/>
  <c r="Y235" i="20"/>
  <c r="AB235" i="20"/>
  <c r="K235" i="20"/>
  <c r="N235" i="20"/>
  <c r="T234" i="20"/>
  <c r="Q234" i="20"/>
  <c r="AK234" i="20"/>
  <c r="AI233" i="20"/>
  <c r="Q233" i="20"/>
  <c r="N233" i="20"/>
  <c r="T233" i="20"/>
  <c r="AL233" i="20"/>
  <c r="T230" i="20"/>
  <c r="AK230" i="20"/>
  <c r="S228" i="20"/>
  <c r="Z229" i="20"/>
  <c r="AB229" i="20"/>
  <c r="AB228" i="20"/>
  <c r="Z228" i="20"/>
  <c r="L227" i="20"/>
  <c r="Z225" i="20"/>
  <c r="AF225" i="20"/>
  <c r="AE225" i="20"/>
  <c r="N225" i="20"/>
  <c r="AA225" i="20"/>
  <c r="K225" i="20"/>
  <c r="Y225" i="20"/>
  <c r="R227" i="20"/>
  <c r="S227" i="20"/>
  <c r="Q221" i="20"/>
  <c r="AA221" i="20"/>
  <c r="R226" i="20"/>
  <c r="S226" i="20"/>
  <c r="O226" i="20"/>
  <c r="AL226" i="20"/>
  <c r="K212" i="20"/>
  <c r="N212" i="20"/>
  <c r="Q212" i="20"/>
  <c r="Y212" i="20"/>
  <c r="K220" i="20"/>
  <c r="N220" i="20"/>
  <c r="Q220" i="20"/>
  <c r="T220" i="20"/>
  <c r="Y220" i="20"/>
  <c r="AE220" i="20"/>
  <c r="AI224" i="20"/>
  <c r="S224" i="20"/>
  <c r="T221" i="20"/>
  <c r="Y221" i="20"/>
  <c r="K221" i="20"/>
  <c r="AE221" i="20"/>
  <c r="AF220" i="20"/>
  <c r="Z220" i="20"/>
  <c r="T219" i="20"/>
  <c r="S216" i="20"/>
  <c r="S214" i="20"/>
  <c r="T214" i="20"/>
  <c r="S213" i="20"/>
  <c r="AL213" i="20"/>
  <c r="Z214" i="20"/>
  <c r="L213" i="20"/>
  <c r="R216" i="20"/>
  <c r="AB214" i="20"/>
  <c r="O213" i="20"/>
  <c r="R213" i="20"/>
  <c r="AI216" i="20"/>
  <c r="L216" i="20"/>
  <c r="Z212" i="20"/>
  <c r="AB212" i="20"/>
  <c r="T211" i="20"/>
  <c r="T210" i="20"/>
  <c r="Y210" i="20"/>
  <c r="AA210" i="20"/>
  <c r="K210" i="20"/>
  <c r="AB210" i="20"/>
  <c r="K209" i="20"/>
  <c r="N209" i="20"/>
  <c r="Y209" i="20"/>
  <c r="AB209" i="20"/>
  <c r="T208" i="20"/>
  <c r="T191" i="20"/>
  <c r="T207" i="20"/>
  <c r="Y207" i="20"/>
  <c r="AA207" i="20"/>
  <c r="K207" i="20"/>
  <c r="AB207" i="20"/>
  <c r="T206" i="20"/>
  <c r="AA205" i="20"/>
  <c r="Y205" i="20"/>
  <c r="AB205" i="20"/>
  <c r="T204" i="20"/>
  <c r="AK204" i="20"/>
  <c r="Y199" i="20"/>
  <c r="AA199" i="20"/>
  <c r="K199" i="20"/>
  <c r="AB199" i="20"/>
  <c r="N199" i="20"/>
  <c r="T200" i="20"/>
  <c r="AK200" i="20"/>
  <c r="T198" i="20"/>
  <c r="AK198" i="20"/>
  <c r="T197" i="20"/>
  <c r="AK197" i="20"/>
  <c r="Q176" i="20"/>
  <c r="T193" i="20"/>
  <c r="AB191" i="20"/>
  <c r="AE191" i="20"/>
  <c r="N191" i="20"/>
  <c r="K191" i="20"/>
  <c r="T188" i="20"/>
  <c r="AK188" i="20"/>
  <c r="AK193" i="20"/>
  <c r="AA189" i="20"/>
  <c r="K193" i="20"/>
  <c r="K189" i="20"/>
  <c r="Y194" i="20"/>
  <c r="AE189" i="20"/>
  <c r="N193" i="20"/>
  <c r="N189" i="20"/>
  <c r="AA194" i="20"/>
  <c r="K194" i="20"/>
  <c r="AB194" i="20"/>
  <c r="Q193" i="20"/>
  <c r="AK190" i="20"/>
  <c r="N194" i="20"/>
  <c r="AI194" i="20"/>
  <c r="Q194" i="20"/>
  <c r="N184" i="20"/>
  <c r="N181" i="20"/>
  <c r="Y185" i="20"/>
  <c r="T174" i="20"/>
  <c r="AK181" i="20"/>
  <c r="N162" i="20"/>
  <c r="Q171" i="20"/>
  <c r="AE185" i="20"/>
  <c r="Y182" i="20"/>
  <c r="AI171" i="20"/>
  <c r="AO63" i="20"/>
  <c r="AL97" i="20"/>
  <c r="K110" i="20"/>
  <c r="K181" i="20"/>
  <c r="T170" i="20"/>
  <c r="S78" i="20"/>
  <c r="N169" i="20"/>
  <c r="W170" i="20"/>
  <c r="AE170" i="20" s="1"/>
  <c r="T176" i="20"/>
  <c r="N152" i="20"/>
  <c r="N168" i="20"/>
  <c r="S88" i="20"/>
  <c r="Q183" i="20"/>
  <c r="T88" i="20"/>
  <c r="N177" i="20"/>
  <c r="T178" i="20"/>
  <c r="T182" i="20"/>
  <c r="AF62" i="20"/>
  <c r="N147" i="20"/>
  <c r="AO64" i="20"/>
  <c r="Q131" i="20"/>
  <c r="T184" i="20"/>
  <c r="T183" i="20"/>
  <c r="T181" i="20"/>
  <c r="AA182" i="20"/>
  <c r="K184" i="20"/>
  <c r="K182" i="20"/>
  <c r="AE182" i="20"/>
  <c r="N182" i="20"/>
  <c r="Q184" i="20"/>
  <c r="AK183" i="20"/>
  <c r="AI184" i="20"/>
  <c r="Q182" i="20"/>
  <c r="K183" i="20"/>
  <c r="Q117" i="20"/>
  <c r="K120" i="20"/>
  <c r="N156" i="20"/>
  <c r="K162" i="20"/>
  <c r="K168" i="20"/>
  <c r="T78" i="20"/>
  <c r="T132" i="20"/>
  <c r="AK141" i="20"/>
  <c r="AI152" i="20"/>
  <c r="Q162" i="20"/>
  <c r="Q168" i="20"/>
  <c r="Q177" i="20"/>
  <c r="L57" i="20"/>
  <c r="S103" i="20"/>
  <c r="T130" i="20"/>
  <c r="K160" i="20"/>
  <c r="AK166" i="20"/>
  <c r="N175" i="20"/>
  <c r="K111" i="20"/>
  <c r="AE161" i="20"/>
  <c r="K166" i="20"/>
  <c r="AE167" i="20"/>
  <c r="O57" i="20"/>
  <c r="AF103" i="20"/>
  <c r="K171" i="20"/>
  <c r="Q175" i="20"/>
  <c r="R87" i="20"/>
  <c r="AI101" i="20"/>
  <c r="Q151" i="20"/>
  <c r="Q29" i="20"/>
  <c r="AI156" i="20"/>
  <c r="AK159" i="20"/>
  <c r="T175" i="20"/>
  <c r="AI57" i="20"/>
  <c r="AE175" i="20"/>
  <c r="AI176" i="20"/>
  <c r="Y178" i="20"/>
  <c r="N174" i="20"/>
  <c r="AL57" i="20"/>
  <c r="AL76" i="20"/>
  <c r="AF88" i="20"/>
  <c r="N132" i="20"/>
  <c r="K169" i="20"/>
  <c r="Q174" i="20"/>
  <c r="T177" i="20"/>
  <c r="AA178" i="20"/>
  <c r="K178" i="20"/>
  <c r="AE178" i="20"/>
  <c r="AK176" i="20"/>
  <c r="N178" i="20"/>
  <c r="AK174" i="20"/>
  <c r="K176" i="20"/>
  <c r="Q178" i="20"/>
  <c r="K174" i="20"/>
  <c r="Y175" i="20"/>
  <c r="N176" i="20"/>
  <c r="AK177" i="20"/>
  <c r="AA175" i="20"/>
  <c r="K177" i="20"/>
  <c r="AB175" i="20"/>
  <c r="T171" i="20"/>
  <c r="AK171" i="20"/>
  <c r="AA170" i="20"/>
  <c r="AK170" i="20"/>
  <c r="K170" i="20"/>
  <c r="N170" i="20"/>
  <c r="AI170" i="20"/>
  <c r="Q169" i="20"/>
  <c r="T169" i="20"/>
  <c r="AK169" i="20"/>
  <c r="T168" i="20"/>
  <c r="AK168" i="20"/>
  <c r="T167" i="20"/>
  <c r="Y167" i="20"/>
  <c r="AA167" i="20"/>
  <c r="K167" i="20"/>
  <c r="AB167" i="20"/>
  <c r="N167" i="20"/>
  <c r="N166" i="20"/>
  <c r="Q166" i="20"/>
  <c r="T166" i="20"/>
  <c r="N159" i="20"/>
  <c r="T159" i="20"/>
  <c r="Q159" i="20"/>
  <c r="K159" i="20"/>
  <c r="T162" i="20"/>
  <c r="AK162" i="20"/>
  <c r="T161" i="20"/>
  <c r="Y161" i="20"/>
  <c r="AA161" i="20"/>
  <c r="K161" i="20"/>
  <c r="AB161" i="20"/>
  <c r="N161" i="20"/>
  <c r="Q160" i="20"/>
  <c r="T160" i="20"/>
  <c r="N160" i="20"/>
  <c r="AK160" i="20"/>
  <c r="T100" i="20"/>
  <c r="AF102" i="20"/>
  <c r="K53" i="20"/>
  <c r="Q54" i="20"/>
  <c r="T120" i="20"/>
  <c r="AE46" i="20"/>
  <c r="AI120" i="20"/>
  <c r="Q127" i="20"/>
  <c r="W132" i="20"/>
  <c r="AE132" i="20" s="1"/>
  <c r="AE54" i="20"/>
  <c r="O76" i="20"/>
  <c r="T79" i="20"/>
  <c r="AF82" i="20"/>
  <c r="N109" i="20"/>
  <c r="AF79" i="20"/>
  <c r="S100" i="20"/>
  <c r="AI135" i="20"/>
  <c r="T146" i="20"/>
  <c r="K153" i="20"/>
  <c r="K156" i="20"/>
  <c r="L67" i="20"/>
  <c r="N111" i="20"/>
  <c r="Q109" i="20"/>
  <c r="T103" i="20"/>
  <c r="T151" i="20"/>
  <c r="T29" i="20"/>
  <c r="Q157" i="20"/>
  <c r="Q49" i="20"/>
  <c r="T46" i="20"/>
  <c r="AE49" i="20"/>
  <c r="T82" i="20"/>
  <c r="N112" i="20"/>
  <c r="W128" i="20"/>
  <c r="Y128" i="20" s="1"/>
  <c r="N157" i="20"/>
  <c r="AA96" i="20"/>
  <c r="W130" i="20"/>
  <c r="AB130" i="20" s="1"/>
  <c r="AK156" i="20"/>
  <c r="Q45" i="20"/>
  <c r="R76" i="20"/>
  <c r="N145" i="20"/>
  <c r="AE45" i="20"/>
  <c r="N74" i="20"/>
  <c r="Q75" i="20"/>
  <c r="AK108" i="20"/>
  <c r="Q145" i="20"/>
  <c r="AE158" i="20"/>
  <c r="T158" i="20"/>
  <c r="Y158" i="20"/>
  <c r="AA158" i="20"/>
  <c r="K158" i="20"/>
  <c r="AB158" i="20"/>
  <c r="N158" i="20"/>
  <c r="W157" i="20"/>
  <c r="AB157" i="20" s="1"/>
  <c r="AK157" i="20"/>
  <c r="T157" i="20"/>
  <c r="AA157" i="20"/>
  <c r="K157" i="20"/>
  <c r="T156" i="20"/>
  <c r="Q156" i="20"/>
  <c r="Y29" i="20"/>
  <c r="AA29" i="20"/>
  <c r="K29" i="20"/>
  <c r="K151" i="20"/>
  <c r="Y151" i="20"/>
  <c r="T150" i="20"/>
  <c r="N141" i="20"/>
  <c r="Q141" i="20"/>
  <c r="AI132" i="20"/>
  <c r="Q132" i="20"/>
  <c r="AK132" i="20"/>
  <c r="AA132" i="20"/>
  <c r="K132" i="20"/>
  <c r="AA130" i="20"/>
  <c r="K130" i="20"/>
  <c r="AK130" i="20"/>
  <c r="N130" i="20"/>
  <c r="AI130" i="20"/>
  <c r="T129" i="20"/>
  <c r="AI60" i="20"/>
  <c r="O60" i="20"/>
  <c r="L60" i="20"/>
  <c r="Q113" i="20"/>
  <c r="AA113" i="20"/>
  <c r="T128" i="20"/>
  <c r="AA91" i="20"/>
  <c r="Q91" i="20"/>
  <c r="N71" i="20"/>
  <c r="Q71" i="20"/>
  <c r="K91" i="20"/>
  <c r="T122" i="20"/>
  <c r="S62" i="20"/>
  <c r="T113" i="20"/>
  <c r="N144" i="20"/>
  <c r="AI144" i="20"/>
  <c r="Q144" i="20"/>
  <c r="T62" i="20"/>
  <c r="N91" i="20"/>
  <c r="T109" i="20"/>
  <c r="Q118" i="20"/>
  <c r="AL60" i="20"/>
  <c r="AL87" i="20"/>
  <c r="O87" i="20"/>
  <c r="L87" i="20"/>
  <c r="K140" i="20"/>
  <c r="AI140" i="20"/>
  <c r="S79" i="20"/>
  <c r="S82" i="20"/>
  <c r="T54" i="20"/>
  <c r="N56" i="20"/>
  <c r="Q56" i="20"/>
  <c r="Q57" i="20"/>
  <c r="S57" i="20" s="1"/>
  <c r="R57" i="20"/>
  <c r="T141" i="20"/>
  <c r="AK73" i="20"/>
  <c r="N73" i="20"/>
  <c r="K73" i="20"/>
  <c r="L77" i="20"/>
  <c r="AL77" i="20"/>
  <c r="AI98" i="20"/>
  <c r="O98" i="20"/>
  <c r="L98" i="20"/>
  <c r="N140" i="20"/>
  <c r="K74" i="20"/>
  <c r="Z103" i="20"/>
  <c r="T137" i="20"/>
  <c r="T61" i="20"/>
  <c r="AE75" i="20"/>
  <c r="Q111" i="20"/>
  <c r="T118" i="20"/>
  <c r="T119" i="20"/>
  <c r="AE113" i="20"/>
  <c r="Q140" i="20"/>
  <c r="N153" i="20"/>
  <c r="T91" i="20"/>
  <c r="S102" i="20"/>
  <c r="AE118" i="20"/>
  <c r="AE122" i="20"/>
  <c r="T144" i="20"/>
  <c r="N43" i="20"/>
  <c r="N47" i="20"/>
  <c r="T56" i="20"/>
  <c r="AE91" i="20"/>
  <c r="T102" i="20"/>
  <c r="AO104" i="20"/>
  <c r="K135" i="20"/>
  <c r="Q153" i="20"/>
  <c r="AE56" i="20"/>
  <c r="T68" i="20"/>
  <c r="AO84" i="20"/>
  <c r="Q96" i="20"/>
  <c r="R98" i="20"/>
  <c r="AF99" i="20"/>
  <c r="L101" i="20"/>
  <c r="AO105" i="20"/>
  <c r="Q110" i="20"/>
  <c r="T136" i="20"/>
  <c r="Q146" i="20"/>
  <c r="Q150" i="20"/>
  <c r="Q43" i="20"/>
  <c r="Q47" i="20"/>
  <c r="Q108" i="20"/>
  <c r="K112" i="20"/>
  <c r="T127" i="20"/>
  <c r="N135" i="20"/>
  <c r="AI153" i="20"/>
  <c r="AE96" i="20"/>
  <c r="O101" i="20"/>
  <c r="R104" i="20"/>
  <c r="T131" i="20"/>
  <c r="Q147" i="20"/>
  <c r="Q152" i="20"/>
  <c r="Q46" i="20"/>
  <c r="AF59" i="20"/>
  <c r="L76" i="20"/>
  <c r="AF100" i="20"/>
  <c r="R101" i="20"/>
  <c r="Q120" i="20"/>
  <c r="K121" i="20"/>
  <c r="AI131" i="20"/>
  <c r="Q135" i="20"/>
  <c r="K141" i="20"/>
  <c r="T147" i="20"/>
  <c r="T152" i="20"/>
  <c r="Q129" i="20"/>
  <c r="N129" i="20"/>
  <c r="K129" i="20"/>
  <c r="K136" i="20"/>
  <c r="T145" i="20"/>
  <c r="T140" i="20"/>
  <c r="T135" i="20"/>
  <c r="AK129" i="20"/>
  <c r="AI136" i="20"/>
  <c r="Q136" i="20"/>
  <c r="N136" i="20"/>
  <c r="AI129" i="20"/>
  <c r="Q137" i="20"/>
  <c r="N137" i="20"/>
  <c r="K137" i="20"/>
  <c r="T153" i="20"/>
  <c r="AK146" i="20"/>
  <c r="AK150" i="20"/>
  <c r="AK127" i="20"/>
  <c r="AK131" i="20"/>
  <c r="K146" i="20"/>
  <c r="K150" i="20"/>
  <c r="K127" i="20"/>
  <c r="AK144" i="20"/>
  <c r="AK147" i="20"/>
  <c r="AA128" i="20"/>
  <c r="K131" i="20"/>
  <c r="N146" i="20"/>
  <c r="N150" i="20"/>
  <c r="AK152" i="20"/>
  <c r="N127" i="20"/>
  <c r="K128" i="20"/>
  <c r="K144" i="20"/>
  <c r="Y145" i="20"/>
  <c r="K147" i="20"/>
  <c r="N131" i="20"/>
  <c r="AK140" i="20"/>
  <c r="K152" i="20"/>
  <c r="N128" i="20"/>
  <c r="AA145" i="20"/>
  <c r="AK153" i="20"/>
  <c r="AI128" i="20"/>
  <c r="Q128" i="20"/>
  <c r="Y122" i="20"/>
  <c r="AA122" i="20"/>
  <c r="AB122" i="20"/>
  <c r="Q122" i="20"/>
  <c r="K122" i="20"/>
  <c r="Y113" i="20"/>
  <c r="AB113" i="20"/>
  <c r="K113" i="20"/>
  <c r="N113" i="20"/>
  <c r="N121" i="20"/>
  <c r="Q121" i="20"/>
  <c r="AI121" i="20"/>
  <c r="AK121" i="20"/>
  <c r="T121" i="20"/>
  <c r="N119" i="20"/>
  <c r="T117" i="20"/>
  <c r="Y118" i="20"/>
  <c r="AK120" i="20"/>
  <c r="AA118" i="20"/>
  <c r="N117" i="20"/>
  <c r="AB118" i="20"/>
  <c r="N118" i="20"/>
  <c r="Q119" i="20"/>
  <c r="N120" i="20"/>
  <c r="AK119" i="20"/>
  <c r="AK117" i="20"/>
  <c r="K119" i="20"/>
  <c r="K117" i="20"/>
  <c r="Q112" i="20"/>
  <c r="T112" i="20"/>
  <c r="AK112" i="20"/>
  <c r="AE109" i="20"/>
  <c r="K109" i="20"/>
  <c r="Y109" i="20"/>
  <c r="Z109" i="20"/>
  <c r="AB109" i="20"/>
  <c r="T111" i="20"/>
  <c r="AK111" i="20"/>
  <c r="T110" i="20"/>
  <c r="AK110" i="20"/>
  <c r="K108" i="20"/>
  <c r="N108" i="20"/>
  <c r="T108" i="20"/>
  <c r="S105" i="20"/>
  <c r="S104" i="20"/>
  <c r="S101" i="20"/>
  <c r="R105" i="20"/>
  <c r="AI104" i="20"/>
  <c r="AB103" i="20"/>
  <c r="O104" i="20"/>
  <c r="Z102" i="20"/>
  <c r="AI105" i="20"/>
  <c r="L105" i="20"/>
  <c r="T99" i="20"/>
  <c r="S99" i="20"/>
  <c r="Z100" i="20"/>
  <c r="AB100" i="20"/>
  <c r="AB99" i="20"/>
  <c r="Z99" i="20"/>
  <c r="S98" i="20"/>
  <c r="R97" i="20"/>
  <c r="S97" i="20"/>
  <c r="AI97" i="20"/>
  <c r="L97" i="20"/>
  <c r="T75" i="20"/>
  <c r="T96" i="20"/>
  <c r="T95" i="20"/>
  <c r="Q95" i="20"/>
  <c r="AI95" i="20"/>
  <c r="Q94" i="20"/>
  <c r="T94" i="20"/>
  <c r="AK93" i="20"/>
  <c r="N93" i="20"/>
  <c r="T93" i="20"/>
  <c r="Q93" i="20"/>
  <c r="K93" i="20"/>
  <c r="N94" i="20"/>
  <c r="K96" i="20"/>
  <c r="AK94" i="20"/>
  <c r="K94" i="20"/>
  <c r="Y96" i="20"/>
  <c r="K95" i="20"/>
  <c r="N95" i="20"/>
  <c r="AB96" i="20"/>
  <c r="Q90" i="20"/>
  <c r="T90" i="20"/>
  <c r="K90" i="20"/>
  <c r="AK90" i="20"/>
  <c r="Y91" i="20"/>
  <c r="N90" i="20"/>
  <c r="AB91" i="20"/>
  <c r="K89" i="20"/>
  <c r="N89" i="20"/>
  <c r="Q89" i="20"/>
  <c r="T89" i="20"/>
  <c r="AK89" i="20"/>
  <c r="Z88" i="20"/>
  <c r="AB88" i="20"/>
  <c r="S87" i="20"/>
  <c r="O84" i="20"/>
  <c r="S84" i="20"/>
  <c r="S83" i="20"/>
  <c r="O83" i="20"/>
  <c r="AI84" i="20"/>
  <c r="R83" i="20"/>
  <c r="AI83" i="20"/>
  <c r="L83" i="20"/>
  <c r="L84" i="20"/>
  <c r="S81" i="20"/>
  <c r="T81" i="20"/>
  <c r="Z82" i="20"/>
  <c r="AB82" i="20"/>
  <c r="Z81" i="20"/>
  <c r="AB81" i="20"/>
  <c r="L80" i="20"/>
  <c r="S80" i="20"/>
  <c r="O80" i="20"/>
  <c r="R80" i="20"/>
  <c r="AI80" i="20"/>
  <c r="Z79" i="20"/>
  <c r="AB79" i="20"/>
  <c r="Z78" i="20"/>
  <c r="AB78" i="20"/>
  <c r="O77" i="20"/>
  <c r="R77" i="20"/>
  <c r="S77" i="20"/>
  <c r="S76" i="20"/>
  <c r="Q74" i="20"/>
  <c r="Y75" i="20"/>
  <c r="K75" i="20"/>
  <c r="AB75" i="20"/>
  <c r="AA75" i="20"/>
  <c r="T74" i="20"/>
  <c r="AK74" i="20"/>
  <c r="Q73" i="20"/>
  <c r="AI73" i="20"/>
  <c r="T73" i="20"/>
  <c r="AI72" i="20"/>
  <c r="L72" i="20"/>
  <c r="O72" i="20"/>
  <c r="S72" i="20"/>
  <c r="R72" i="20"/>
  <c r="Z68" i="20"/>
  <c r="AF68" i="20"/>
  <c r="T71" i="20"/>
  <c r="Y71" i="20"/>
  <c r="AA71" i="20"/>
  <c r="K71" i="20"/>
  <c r="AE71" i="20"/>
  <c r="Q70" i="20"/>
  <c r="T70" i="20"/>
  <c r="K70" i="20"/>
  <c r="N70" i="20"/>
  <c r="AK70" i="20"/>
  <c r="N69" i="20"/>
  <c r="T69" i="20"/>
  <c r="K69" i="20"/>
  <c r="AA68" i="20"/>
  <c r="K68" i="20"/>
  <c r="Y68" i="20"/>
  <c r="AB68" i="20"/>
  <c r="N68" i="20"/>
  <c r="R67" i="20"/>
  <c r="AI67" i="20"/>
  <c r="O67" i="20"/>
  <c r="S67" i="20"/>
  <c r="AI64" i="20"/>
  <c r="L64" i="20"/>
  <c r="R64" i="20"/>
  <c r="S64" i="20"/>
  <c r="L63" i="20"/>
  <c r="S63" i="20"/>
  <c r="O63" i="20"/>
  <c r="R63" i="20"/>
  <c r="Z62" i="20"/>
  <c r="AB62" i="20"/>
  <c r="T58" i="20"/>
  <c r="T59" i="20"/>
  <c r="Z59" i="20"/>
  <c r="Z61" i="20"/>
  <c r="AF61" i="20"/>
  <c r="Z58" i="20"/>
  <c r="AF58" i="20"/>
  <c r="Y61" i="20"/>
  <c r="AA61" i="20"/>
  <c r="K61" i="20"/>
  <c r="AB61" i="20"/>
  <c r="N61" i="20"/>
  <c r="R60" i="20"/>
  <c r="S60" i="20"/>
  <c r="Y59" i="20"/>
  <c r="AA59" i="20"/>
  <c r="K59" i="20"/>
  <c r="AB59" i="20"/>
  <c r="N59" i="20"/>
  <c r="Y58" i="20"/>
  <c r="AA58" i="20"/>
  <c r="K58" i="20"/>
  <c r="AB58" i="20"/>
  <c r="N58" i="20"/>
  <c r="AK57" i="20"/>
  <c r="Y56" i="20"/>
  <c r="AA56" i="20"/>
  <c r="K56" i="20"/>
  <c r="AB56" i="20"/>
  <c r="K55" i="20"/>
  <c r="AK55" i="20"/>
  <c r="N55" i="20"/>
  <c r="Q55" i="20"/>
  <c r="T55" i="20"/>
  <c r="Y54" i="20"/>
  <c r="AA54" i="20"/>
  <c r="K54" i="20"/>
  <c r="AB54" i="20"/>
  <c r="N53" i="20"/>
  <c r="T53" i="20"/>
  <c r="Q53" i="20"/>
  <c r="AK53" i="20"/>
  <c r="K52" i="20"/>
  <c r="T52" i="20"/>
  <c r="N52" i="20"/>
  <c r="Q52" i="20"/>
  <c r="Y43" i="20"/>
  <c r="AE43" i="20"/>
  <c r="K43" i="20"/>
  <c r="Y47" i="20"/>
  <c r="AE47" i="20"/>
  <c r="K47" i="20"/>
  <c r="AK52" i="20"/>
  <c r="T49" i="20"/>
  <c r="Y49" i="20"/>
  <c r="AA49" i="20"/>
  <c r="AB49" i="20"/>
  <c r="N49" i="20"/>
  <c r="T48" i="20"/>
  <c r="Q48" i="20"/>
  <c r="AK48" i="20"/>
  <c r="K48" i="20"/>
  <c r="N48" i="20"/>
  <c r="T47" i="20"/>
  <c r="Z47" i="20"/>
  <c r="AB47" i="20"/>
  <c r="Y46" i="20"/>
  <c r="AA46" i="20"/>
  <c r="K46" i="20"/>
  <c r="AB46" i="20"/>
  <c r="T45" i="20"/>
  <c r="Y45" i="20"/>
  <c r="AA45" i="20"/>
  <c r="K45" i="20"/>
  <c r="AB45" i="20"/>
  <c r="T44" i="20"/>
  <c r="AK44" i="20"/>
  <c r="Q44" i="20"/>
  <c r="K44" i="20"/>
  <c r="N44" i="20"/>
  <c r="T43" i="20"/>
  <c r="Z43" i="20"/>
  <c r="AB43" i="20"/>
  <c r="K42" i="20"/>
  <c r="N42" i="20"/>
  <c r="Q42" i="20"/>
  <c r="T42" i="20"/>
  <c r="AK42" i="20"/>
  <c r="AN39" i="20"/>
  <c r="AL39" i="20"/>
  <c r="AK39" i="20"/>
  <c r="AI39" i="20"/>
  <c r="AE39" i="20"/>
  <c r="Y39" i="20"/>
  <c r="W39" i="20"/>
  <c r="R39" i="20"/>
  <c r="Q39" i="20"/>
  <c r="O39" i="20"/>
  <c r="N39" i="20"/>
  <c r="L39" i="20"/>
  <c r="K39" i="20"/>
  <c r="H39" i="20"/>
  <c r="AA39" i="20" s="1"/>
  <c r="G38" i="20"/>
  <c r="AL38" i="20" s="1"/>
  <c r="AK38" i="20"/>
  <c r="AE38" i="20"/>
  <c r="AB38" i="20"/>
  <c r="Q38" i="20"/>
  <c r="N38" i="20"/>
  <c r="K38" i="20"/>
  <c r="H38" i="20"/>
  <c r="AF38" i="20" s="1"/>
  <c r="G36" i="20"/>
  <c r="AK36" i="20" s="1"/>
  <c r="G37" i="20"/>
  <c r="AK37" i="20"/>
  <c r="AE37" i="20"/>
  <c r="AB37" i="20"/>
  <c r="Q37" i="20"/>
  <c r="N37" i="20"/>
  <c r="K37" i="20"/>
  <c r="H37" i="20"/>
  <c r="AF37" i="20" s="1"/>
  <c r="AL36" i="20"/>
  <c r="R36" i="20"/>
  <c r="O36" i="20"/>
  <c r="L36" i="20"/>
  <c r="H36" i="20"/>
  <c r="G35" i="20"/>
  <c r="AI35" i="20" s="1"/>
  <c r="AL35" i="20"/>
  <c r="R35" i="20"/>
  <c r="O35" i="20"/>
  <c r="L35" i="20"/>
  <c r="H35" i="20"/>
  <c r="Q2" i="20"/>
  <c r="G34" i="20"/>
  <c r="O34" i="20" s="1"/>
  <c r="AK34" i="20"/>
  <c r="AE34" i="20"/>
  <c r="AB34" i="20"/>
  <c r="Q34" i="20"/>
  <c r="N34" i="20"/>
  <c r="K34" i="20"/>
  <c r="H34" i="20"/>
  <c r="AF34" i="20" s="1"/>
  <c r="G30" i="20"/>
  <c r="AK30" i="20" s="1"/>
  <c r="G25" i="20"/>
  <c r="G24" i="20"/>
  <c r="G19" i="20"/>
  <c r="AK19" i="20" s="1"/>
  <c r="G17" i="20"/>
  <c r="AI17" i="20" s="1"/>
  <c r="G14" i="20"/>
  <c r="R14" i="20"/>
  <c r="O14" i="20"/>
  <c r="L14" i="20"/>
  <c r="H14" i="20"/>
  <c r="G13" i="20"/>
  <c r="AI13" i="20" s="1"/>
  <c r="G18" i="40"/>
  <c r="G24" i="40"/>
  <c r="AK24" i="40" s="1"/>
  <c r="AK19" i="40"/>
  <c r="AK18" i="40"/>
  <c r="AK15" i="40"/>
  <c r="G12" i="20"/>
  <c r="AI12" i="20" s="1"/>
  <c r="G9" i="20"/>
  <c r="AI8" i="20"/>
  <c r="AI7" i="20"/>
  <c r="AL31" i="20"/>
  <c r="R31" i="20"/>
  <c r="O31" i="20"/>
  <c r="L31" i="20"/>
  <c r="H31" i="20"/>
  <c r="G31" i="20"/>
  <c r="AK31" i="20" s="1"/>
  <c r="AL30" i="20"/>
  <c r="R30" i="20"/>
  <c r="O30" i="20"/>
  <c r="L30" i="20"/>
  <c r="H30" i="20"/>
  <c r="AN28" i="20"/>
  <c r="AL28" i="20"/>
  <c r="R28" i="20"/>
  <c r="O28" i="20"/>
  <c r="L28" i="20"/>
  <c r="H28" i="20"/>
  <c r="G28" i="20"/>
  <c r="AK28" i="20" s="1"/>
  <c r="AP27" i="20"/>
  <c r="AN27" i="20"/>
  <c r="AL25" i="20"/>
  <c r="R25" i="20"/>
  <c r="O25" i="20"/>
  <c r="L25" i="20"/>
  <c r="H25" i="20"/>
  <c r="AL24" i="20"/>
  <c r="R24" i="20"/>
  <c r="O24" i="20"/>
  <c r="L24" i="20"/>
  <c r="H24" i="20"/>
  <c r="AL23" i="20"/>
  <c r="AK23" i="20"/>
  <c r="Z23" i="20"/>
  <c r="W23" i="20"/>
  <c r="AB23" i="20" s="1"/>
  <c r="R23" i="20"/>
  <c r="O23" i="20"/>
  <c r="L23" i="20"/>
  <c r="H23" i="20"/>
  <c r="K23" i="20" s="1"/>
  <c r="AN22" i="20"/>
  <c r="AL22" i="20"/>
  <c r="R22" i="20"/>
  <c r="O22" i="20"/>
  <c r="L22" i="20"/>
  <c r="H22" i="20"/>
  <c r="G22" i="20"/>
  <c r="AK22" i="20" s="1"/>
  <c r="AN21" i="20"/>
  <c r="AL19" i="20"/>
  <c r="R19" i="20"/>
  <c r="O19" i="20"/>
  <c r="L19" i="20"/>
  <c r="H19" i="20"/>
  <c r="AL17" i="20"/>
  <c r="R17" i="20"/>
  <c r="O17" i="20"/>
  <c r="L17" i="20"/>
  <c r="H17" i="20"/>
  <c r="AL13" i="20"/>
  <c r="R13" i="20"/>
  <c r="O13" i="20"/>
  <c r="L13" i="20"/>
  <c r="H13" i="20"/>
  <c r="AL12" i="20"/>
  <c r="R12" i="20"/>
  <c r="O12" i="20"/>
  <c r="L12" i="20"/>
  <c r="H12" i="20"/>
  <c r="AL9" i="20"/>
  <c r="R9" i="20"/>
  <c r="O9" i="20"/>
  <c r="L9" i="20"/>
  <c r="H9" i="20"/>
  <c r="AM8" i="20"/>
  <c r="AM271" i="20" s="1"/>
  <c r="AM272" i="20" s="1"/>
  <c r="AL8" i="20"/>
  <c r="AF8" i="20"/>
  <c r="Z8" i="20"/>
  <c r="R8" i="20"/>
  <c r="O8" i="20"/>
  <c r="L8" i="20"/>
  <c r="H8" i="20"/>
  <c r="AL7" i="20"/>
  <c r="R7" i="20"/>
  <c r="O7" i="20"/>
  <c r="L7" i="20"/>
  <c r="H7" i="20"/>
  <c r="AN6" i="20"/>
  <c r="AL6" i="20"/>
  <c r="AK6" i="20"/>
  <c r="AD95" i="40"/>
  <c r="AQ84" i="40"/>
  <c r="AQ86" i="40" s="1"/>
  <c r="AM63" i="40"/>
  <c r="AM36" i="40"/>
  <c r="AM9" i="40"/>
  <c r="AK7" i="40"/>
  <c r="AL7" i="40"/>
  <c r="AL8" i="40"/>
  <c r="AK9" i="40"/>
  <c r="AL9" i="40"/>
  <c r="AL10" i="40"/>
  <c r="AL11" i="40"/>
  <c r="AK12" i="40"/>
  <c r="AL12" i="40"/>
  <c r="AK13" i="40"/>
  <c r="AL13" i="40"/>
  <c r="AL14" i="40"/>
  <c r="AL15" i="40"/>
  <c r="AK16" i="40"/>
  <c r="AL16" i="40"/>
  <c r="AK17" i="40"/>
  <c r="AL17" i="40"/>
  <c r="AL18" i="40"/>
  <c r="AL19" i="40"/>
  <c r="AK20" i="40"/>
  <c r="AL20" i="40"/>
  <c r="AK21" i="40"/>
  <c r="AL21" i="40"/>
  <c r="AL22" i="40"/>
  <c r="AK23" i="40"/>
  <c r="AL23" i="40"/>
  <c r="AL24" i="40"/>
  <c r="AK25" i="40"/>
  <c r="AL25" i="40"/>
  <c r="AK26" i="40"/>
  <c r="AL26" i="40"/>
  <c r="AK27" i="40"/>
  <c r="AL27" i="40"/>
  <c r="AL28" i="40"/>
  <c r="AK29" i="40"/>
  <c r="AL29" i="40"/>
  <c r="AL30" i="40"/>
  <c r="AK31" i="40"/>
  <c r="AL31" i="40"/>
  <c r="AK32" i="40"/>
  <c r="AL32" i="40"/>
  <c r="AK33" i="40"/>
  <c r="AL33" i="40"/>
  <c r="AK34" i="40"/>
  <c r="AL34" i="40"/>
  <c r="AK35" i="40"/>
  <c r="AL35" i="40"/>
  <c r="AK36" i="40"/>
  <c r="AL36" i="40"/>
  <c r="AK37" i="40"/>
  <c r="AL37" i="40"/>
  <c r="AK39" i="40"/>
  <c r="AL39" i="40"/>
  <c r="AK40" i="40"/>
  <c r="AL40" i="40"/>
  <c r="AL41" i="40"/>
  <c r="AL42" i="40"/>
  <c r="AL43" i="40"/>
  <c r="AK44" i="40"/>
  <c r="AL44" i="40"/>
  <c r="AK45" i="40"/>
  <c r="AL45" i="40"/>
  <c r="AL46" i="40"/>
  <c r="AK47" i="40"/>
  <c r="AL47" i="40"/>
  <c r="AK48" i="40"/>
  <c r="AL48" i="40"/>
  <c r="AL49" i="40"/>
  <c r="AK50" i="40"/>
  <c r="AL50" i="40"/>
  <c r="AL51" i="40"/>
  <c r="AL52" i="40"/>
  <c r="AL53" i="40"/>
  <c r="AK54" i="40"/>
  <c r="AL54" i="40"/>
  <c r="AK55" i="40"/>
  <c r="AK56" i="40"/>
  <c r="AL56" i="40"/>
  <c r="AK57" i="40"/>
  <c r="AL57" i="40"/>
  <c r="AK58" i="40"/>
  <c r="AL58" i="40"/>
  <c r="AK59" i="40"/>
  <c r="AL59" i="40"/>
  <c r="AL60" i="40"/>
  <c r="AL61" i="40"/>
  <c r="AL62" i="40"/>
  <c r="AK63" i="40"/>
  <c r="AL63" i="40"/>
  <c r="AK64" i="40"/>
  <c r="AL64" i="40"/>
  <c r="AK65" i="40"/>
  <c r="AL65" i="40"/>
  <c r="AL66" i="40"/>
  <c r="AL67" i="40"/>
  <c r="AL68" i="40"/>
  <c r="AK69" i="40"/>
  <c r="AL69" i="40"/>
  <c r="AK70" i="40"/>
  <c r="AL70" i="40"/>
  <c r="AL71" i="40"/>
  <c r="AK72" i="40"/>
  <c r="AL72" i="40"/>
  <c r="AL73" i="40"/>
  <c r="AL74" i="40"/>
  <c r="AK75" i="40"/>
  <c r="AL75" i="40"/>
  <c r="AL76" i="40"/>
  <c r="AL77" i="40"/>
  <c r="AL78" i="40"/>
  <c r="AK79" i="40"/>
  <c r="AL79" i="40"/>
  <c r="AL80" i="40"/>
  <c r="AK81" i="40"/>
  <c r="AL81" i="40"/>
  <c r="AK82" i="40"/>
  <c r="AL82" i="40"/>
  <c r="AK83" i="40"/>
  <c r="AH86" i="40"/>
  <c r="G83" i="40"/>
  <c r="O83" i="40" s="1"/>
  <c r="P83" i="40"/>
  <c r="Q83" i="40" s="1"/>
  <c r="K83" i="40"/>
  <c r="H83" i="40"/>
  <c r="N83" i="40"/>
  <c r="AN82" i="40"/>
  <c r="G80" i="40"/>
  <c r="AK80" i="40" s="1"/>
  <c r="G77" i="40"/>
  <c r="G74" i="40"/>
  <c r="AK68" i="40"/>
  <c r="G67" i="40"/>
  <c r="AK67" i="40" s="1"/>
  <c r="G62" i="40"/>
  <c r="AI62" i="40" s="1"/>
  <c r="G61" i="40"/>
  <c r="AI61" i="40" s="1"/>
  <c r="G60" i="40"/>
  <c r="AK60" i="40" s="1"/>
  <c r="AN80" i="40"/>
  <c r="P80" i="40"/>
  <c r="R80" i="40" s="1"/>
  <c r="O80" i="40"/>
  <c r="H80" i="40"/>
  <c r="L80" i="40"/>
  <c r="AN79" i="40"/>
  <c r="R78" i="40"/>
  <c r="P78" i="40"/>
  <c r="O78" i="40"/>
  <c r="L78" i="40"/>
  <c r="H78" i="40"/>
  <c r="G78" i="40"/>
  <c r="AK78" i="40" s="1"/>
  <c r="R77" i="40"/>
  <c r="P77" i="40"/>
  <c r="O77" i="40"/>
  <c r="L77" i="40"/>
  <c r="H77" i="40"/>
  <c r="AN76" i="40"/>
  <c r="R76" i="40"/>
  <c r="P76" i="40"/>
  <c r="O76" i="40"/>
  <c r="L76" i="40"/>
  <c r="H76" i="40"/>
  <c r="G76" i="40"/>
  <c r="AP75" i="40"/>
  <c r="AN75" i="40"/>
  <c r="R74" i="40"/>
  <c r="P74" i="40"/>
  <c r="O74" i="40"/>
  <c r="L74" i="40"/>
  <c r="H74" i="40"/>
  <c r="R73" i="40"/>
  <c r="P73" i="40"/>
  <c r="O73" i="40"/>
  <c r="L73" i="40"/>
  <c r="H73" i="40"/>
  <c r="G73" i="40"/>
  <c r="Z72" i="40"/>
  <c r="W72" i="40"/>
  <c r="R72" i="40"/>
  <c r="O72" i="40"/>
  <c r="L72" i="40"/>
  <c r="H72" i="40"/>
  <c r="AA72" i="40" s="1"/>
  <c r="AN71" i="40"/>
  <c r="R71" i="40"/>
  <c r="P71" i="40"/>
  <c r="O71" i="40"/>
  <c r="L71" i="40"/>
  <c r="H71" i="40"/>
  <c r="G71" i="40"/>
  <c r="AN70" i="40"/>
  <c r="R68" i="40"/>
  <c r="P68" i="40"/>
  <c r="O68" i="40"/>
  <c r="L68" i="40"/>
  <c r="H68" i="40"/>
  <c r="R67" i="40"/>
  <c r="P67" i="40"/>
  <c r="O67" i="40"/>
  <c r="L67" i="40"/>
  <c r="H67" i="40"/>
  <c r="R66" i="40"/>
  <c r="P66" i="40"/>
  <c r="O66" i="40"/>
  <c r="L66" i="40"/>
  <c r="H66" i="40"/>
  <c r="G66" i="40"/>
  <c r="AK66" i="40" s="1"/>
  <c r="R62" i="40"/>
  <c r="P62" i="40"/>
  <c r="O62" i="40"/>
  <c r="L62" i="40"/>
  <c r="H62" i="40"/>
  <c r="R61" i="40"/>
  <c r="P61" i="40"/>
  <c r="O61" i="40"/>
  <c r="L61" i="40"/>
  <c r="H61" i="40"/>
  <c r="AI63" i="40"/>
  <c r="AF63" i="40"/>
  <c r="Z63" i="40"/>
  <c r="W63" i="40"/>
  <c r="R63" i="40"/>
  <c r="O63" i="40"/>
  <c r="L63" i="40"/>
  <c r="H63" i="40"/>
  <c r="Q63" i="40" s="1"/>
  <c r="R60" i="40"/>
  <c r="P60" i="40"/>
  <c r="O60" i="40"/>
  <c r="L60" i="40"/>
  <c r="H60" i="40"/>
  <c r="AN59" i="40"/>
  <c r="G55" i="40"/>
  <c r="AI55" i="40" s="1"/>
  <c r="P55" i="40"/>
  <c r="Q55" i="40" s="1"/>
  <c r="N55" i="40"/>
  <c r="H55" i="40"/>
  <c r="AP54" i="40"/>
  <c r="AN54" i="40"/>
  <c r="G52" i="40"/>
  <c r="AK52" i="40" s="1"/>
  <c r="G49" i="40"/>
  <c r="AK49" i="40" s="1"/>
  <c r="R49" i="40"/>
  <c r="P49" i="40"/>
  <c r="O49" i="40"/>
  <c r="L49" i="40"/>
  <c r="H49" i="40"/>
  <c r="AK42" i="40"/>
  <c r="R42" i="40"/>
  <c r="P42" i="40"/>
  <c r="O42" i="40"/>
  <c r="L42" i="40"/>
  <c r="H42" i="40"/>
  <c r="G43" i="40"/>
  <c r="AK43" i="40" s="1"/>
  <c r="AK41" i="40"/>
  <c r="AI37" i="40"/>
  <c r="AI35" i="40"/>
  <c r="AN34" i="40"/>
  <c r="H35" i="40"/>
  <c r="L35" i="40"/>
  <c r="O35" i="40"/>
  <c r="P35" i="40"/>
  <c r="R35" i="40"/>
  <c r="H36" i="40"/>
  <c r="Q36" i="40" s="1"/>
  <c r="L36" i="40"/>
  <c r="O36" i="40"/>
  <c r="R36" i="40"/>
  <c r="W36" i="40"/>
  <c r="AB36" i="40" s="1"/>
  <c r="Z36" i="40"/>
  <c r="AF36" i="40"/>
  <c r="AI36" i="40"/>
  <c r="H37" i="40"/>
  <c r="L37" i="40"/>
  <c r="O37" i="40"/>
  <c r="P37" i="40"/>
  <c r="R37" i="40"/>
  <c r="R53" i="40"/>
  <c r="P53" i="40"/>
  <c r="O53" i="40"/>
  <c r="L53" i="40"/>
  <c r="H53" i="40"/>
  <c r="AK53" i="40"/>
  <c r="R52" i="40"/>
  <c r="P52" i="40"/>
  <c r="O52" i="40"/>
  <c r="L52" i="40"/>
  <c r="H52" i="40"/>
  <c r="AN51" i="40"/>
  <c r="R51" i="40"/>
  <c r="P51" i="40"/>
  <c r="O51" i="40"/>
  <c r="L51" i="40"/>
  <c r="H51" i="40"/>
  <c r="AI51" i="40"/>
  <c r="AP50" i="40"/>
  <c r="AN50" i="40"/>
  <c r="R48" i="40"/>
  <c r="P48" i="40"/>
  <c r="O48" i="40"/>
  <c r="L48" i="40"/>
  <c r="H48" i="40"/>
  <c r="Z47" i="40"/>
  <c r="W47" i="40"/>
  <c r="AB47" i="40" s="1"/>
  <c r="R47" i="40"/>
  <c r="O47" i="40"/>
  <c r="L47" i="40"/>
  <c r="H47" i="40"/>
  <c r="Q47" i="40" s="1"/>
  <c r="AN46" i="40"/>
  <c r="R46" i="40"/>
  <c r="P46" i="40"/>
  <c r="O46" i="40"/>
  <c r="L46" i="40"/>
  <c r="H46" i="40"/>
  <c r="AK46" i="40"/>
  <c r="AN45" i="40"/>
  <c r="R43" i="40"/>
  <c r="P43" i="40"/>
  <c r="O43" i="40"/>
  <c r="L43" i="40"/>
  <c r="H43" i="40"/>
  <c r="R41" i="40"/>
  <c r="P41" i="40"/>
  <c r="O41" i="40"/>
  <c r="L41" i="40"/>
  <c r="H41" i="40"/>
  <c r="AK30" i="40"/>
  <c r="R30" i="40"/>
  <c r="P30" i="40"/>
  <c r="O30" i="40"/>
  <c r="L30" i="40"/>
  <c r="H30" i="40"/>
  <c r="R29" i="40"/>
  <c r="P29" i="40"/>
  <c r="O29" i="40"/>
  <c r="L29" i="40"/>
  <c r="H29" i="40"/>
  <c r="AN28" i="40"/>
  <c r="R28" i="40"/>
  <c r="P28" i="40"/>
  <c r="O28" i="40"/>
  <c r="L28" i="40"/>
  <c r="H28" i="40"/>
  <c r="G28" i="40"/>
  <c r="AI28" i="40" s="1"/>
  <c r="R25" i="40"/>
  <c r="P25" i="40"/>
  <c r="O25" i="40"/>
  <c r="L25" i="40"/>
  <c r="H25" i="40"/>
  <c r="R24" i="40"/>
  <c r="P24" i="40"/>
  <c r="O24" i="40"/>
  <c r="L24" i="40"/>
  <c r="H24" i="40"/>
  <c r="P22" i="40"/>
  <c r="AI22" i="40"/>
  <c r="R19" i="40"/>
  <c r="P19" i="40"/>
  <c r="O19" i="40"/>
  <c r="L19" i="40"/>
  <c r="H19" i="40"/>
  <c r="R18" i="40"/>
  <c r="P18" i="40"/>
  <c r="O18" i="40"/>
  <c r="L18" i="40"/>
  <c r="H18" i="40"/>
  <c r="R15" i="40"/>
  <c r="P15" i="40"/>
  <c r="O15" i="40"/>
  <c r="L15" i="40"/>
  <c r="H15" i="40"/>
  <c r="G11" i="40"/>
  <c r="AK11" i="40" s="1"/>
  <c r="AK10" i="40"/>
  <c r="P14" i="40"/>
  <c r="G14" i="40"/>
  <c r="AI14" i="40" s="1"/>
  <c r="P11" i="40"/>
  <c r="P10" i="40"/>
  <c r="P8" i="40"/>
  <c r="AK8" i="40"/>
  <c r="R96" i="40"/>
  <c r="Q96" i="40"/>
  <c r="O96" i="40"/>
  <c r="N96" i="40"/>
  <c r="H96" i="40"/>
  <c r="AH95" i="40"/>
  <c r="P95" i="40"/>
  <c r="M95" i="40"/>
  <c r="AG93" i="40"/>
  <c r="AC93" i="40"/>
  <c r="AG92" i="40"/>
  <c r="AC92" i="40"/>
  <c r="AO31" i="40"/>
  <c r="AO84" i="40" s="1"/>
  <c r="AO86" i="40" s="1"/>
  <c r="AP27" i="40"/>
  <c r="AN27" i="40"/>
  <c r="Z23" i="40"/>
  <c r="W23" i="40"/>
  <c r="AB23" i="40" s="1"/>
  <c r="R23" i="40"/>
  <c r="O23" i="40"/>
  <c r="L23" i="40"/>
  <c r="H23" i="40"/>
  <c r="N23" i="40" s="1"/>
  <c r="AN22" i="40"/>
  <c r="R22" i="40"/>
  <c r="O22" i="40"/>
  <c r="L22" i="40"/>
  <c r="H22" i="40"/>
  <c r="AN21" i="40"/>
  <c r="R14" i="40"/>
  <c r="O14" i="40"/>
  <c r="L14" i="40"/>
  <c r="H14" i="40"/>
  <c r="R11" i="40"/>
  <c r="O11" i="40"/>
  <c r="L11" i="40"/>
  <c r="H11" i="40"/>
  <c r="R10" i="40"/>
  <c r="O10" i="40"/>
  <c r="L10" i="40"/>
  <c r="H10" i="40"/>
  <c r="AI9" i="40"/>
  <c r="AF9" i="40"/>
  <c r="Z9" i="40"/>
  <c r="W9" i="40"/>
  <c r="R9" i="40"/>
  <c r="O9" i="40"/>
  <c r="L9" i="40"/>
  <c r="H9" i="40"/>
  <c r="AA9" i="40" s="1"/>
  <c r="R8" i="40"/>
  <c r="O8" i="40"/>
  <c r="L8" i="40"/>
  <c r="H8" i="40"/>
  <c r="AN7" i="40"/>
  <c r="AL6" i="40"/>
  <c r="AK6" i="40"/>
  <c r="AL37" i="20" l="1"/>
  <c r="L37" i="20"/>
  <c r="Y268" i="20"/>
  <c r="S251" i="20"/>
  <c r="S245" i="20"/>
  <c r="AP245" i="20" s="1"/>
  <c r="Q76" i="40"/>
  <c r="Q73" i="40"/>
  <c r="AK62" i="40"/>
  <c r="AI24" i="40"/>
  <c r="Y72" i="40"/>
  <c r="AK73" i="40"/>
  <c r="AL55" i="40"/>
  <c r="AM84" i="40"/>
  <c r="AM85" i="40" s="1"/>
  <c r="AF86" i="40"/>
  <c r="N67" i="40"/>
  <c r="K71" i="40"/>
  <c r="AI83" i="40"/>
  <c r="AK61" i="40"/>
  <c r="AK28" i="40"/>
  <c r="S259" i="20"/>
  <c r="S230" i="20"/>
  <c r="S199" i="20"/>
  <c r="S235" i="20"/>
  <c r="AB273" i="22"/>
  <c r="Y273" i="22"/>
  <c r="AE273" i="22"/>
  <c r="T273" i="22"/>
  <c r="S273" i="22"/>
  <c r="AP273" i="22"/>
  <c r="S219" i="20"/>
  <c r="S258" i="20"/>
  <c r="S204" i="20"/>
  <c r="S198" i="20"/>
  <c r="S248" i="20"/>
  <c r="AP248" i="20" s="1"/>
  <c r="S263" i="20"/>
  <c r="S197" i="20"/>
  <c r="S267" i="20"/>
  <c r="S262" i="20"/>
  <c r="S207" i="20"/>
  <c r="S161" i="20"/>
  <c r="AO271" i="20"/>
  <c r="AO273" i="20" s="1"/>
  <c r="AN271" i="20"/>
  <c r="AN273" i="20" s="1"/>
  <c r="T224" i="20"/>
  <c r="T226" i="20"/>
  <c r="S206" i="20"/>
  <c r="AB128" i="20"/>
  <c r="S256" i="20"/>
  <c r="S239" i="20"/>
  <c r="AP239" i="20" s="1"/>
  <c r="S209" i="20"/>
  <c r="S236" i="20"/>
  <c r="S264" i="20"/>
  <c r="S208" i="20"/>
  <c r="Z86" i="40"/>
  <c r="AN84" i="40"/>
  <c r="AN86" i="40" s="1"/>
  <c r="N74" i="40"/>
  <c r="T37" i="40"/>
  <c r="Q80" i="40"/>
  <c r="T35" i="40"/>
  <c r="E25" i="12"/>
  <c r="F24" i="12"/>
  <c r="F36" i="12"/>
  <c r="E37" i="12"/>
  <c r="S21" i="21"/>
  <c r="AP21" i="21" s="1"/>
  <c r="S59" i="20"/>
  <c r="S24" i="21"/>
  <c r="AP24" i="21" s="1"/>
  <c r="S27" i="21"/>
  <c r="AP27" i="21" s="1"/>
  <c r="S14" i="21"/>
  <c r="S30" i="21"/>
  <c r="S10" i="21"/>
  <c r="S18" i="21"/>
  <c r="AP18" i="21" s="1"/>
  <c r="S15" i="21"/>
  <c r="S20" i="21"/>
  <c r="AP20" i="21" s="1"/>
  <c r="S26" i="21"/>
  <c r="AP26" i="21" s="1"/>
  <c r="S25" i="21"/>
  <c r="AP25" i="21" s="1"/>
  <c r="S19" i="21"/>
  <c r="AP19" i="21" s="1"/>
  <c r="S210" i="20"/>
  <c r="S188" i="20"/>
  <c r="S200" i="20"/>
  <c r="S234" i="20"/>
  <c r="AB258" i="20"/>
  <c r="S190" i="20"/>
  <c r="T60" i="20"/>
  <c r="Y170" i="20"/>
  <c r="S160" i="20"/>
  <c r="S211" i="20"/>
  <c r="S242" i="20"/>
  <c r="AP242" i="20" s="1"/>
  <c r="Y258" i="20"/>
  <c r="S270" i="20"/>
  <c r="T57" i="20"/>
  <c r="S269" i="20"/>
  <c r="K36" i="20"/>
  <c r="S252" i="20"/>
  <c r="S268" i="20"/>
  <c r="S247" i="20"/>
  <c r="AP247" i="20" s="1"/>
  <c r="T227" i="20"/>
  <c r="S257" i="20"/>
  <c r="S144" i="20"/>
  <c r="AP144" i="20" s="1"/>
  <c r="S212" i="20"/>
  <c r="S225" i="20"/>
  <c r="S246" i="20"/>
  <c r="AP246" i="20" s="1"/>
  <c r="AB252" i="20"/>
  <c r="S205" i="20"/>
  <c r="S189" i="20"/>
  <c r="Y252" i="20"/>
  <c r="S181" i="20"/>
  <c r="S255" i="20"/>
  <c r="S241" i="20"/>
  <c r="AP241" i="20" s="1"/>
  <c r="S240" i="20"/>
  <c r="AP240" i="20" s="1"/>
  <c r="S233" i="20"/>
  <c r="S221" i="20"/>
  <c r="S220" i="20"/>
  <c r="T213" i="20"/>
  <c r="T216" i="20"/>
  <c r="S191" i="20"/>
  <c r="S194" i="20"/>
  <c r="S193" i="20"/>
  <c r="S175" i="20"/>
  <c r="K8" i="20"/>
  <c r="S29" i="20"/>
  <c r="AP29" i="20" s="1"/>
  <c r="N24" i="20"/>
  <c r="S110" i="20"/>
  <c r="S42" i="20"/>
  <c r="T72" i="20"/>
  <c r="S89" i="20"/>
  <c r="S151" i="20"/>
  <c r="AP151" i="20" s="1"/>
  <c r="S156" i="20"/>
  <c r="S162" i="20"/>
  <c r="S184" i="20"/>
  <c r="AB170" i="20"/>
  <c r="S49" i="20"/>
  <c r="T63" i="20"/>
  <c r="S68" i="20"/>
  <c r="AE128" i="20"/>
  <c r="T87" i="20"/>
  <c r="S159" i="20"/>
  <c r="S182" i="20"/>
  <c r="S53" i="20"/>
  <c r="R37" i="20"/>
  <c r="S45" i="20"/>
  <c r="S75" i="20"/>
  <c r="S109" i="20"/>
  <c r="T76" i="20"/>
  <c r="S166" i="20"/>
  <c r="S54" i="20"/>
  <c r="S113" i="20"/>
  <c r="O38" i="20"/>
  <c r="S74" i="20"/>
  <c r="S145" i="20"/>
  <c r="AP145" i="20" s="1"/>
  <c r="S167" i="20"/>
  <c r="N35" i="20"/>
  <c r="O37" i="20"/>
  <c r="Y157" i="20"/>
  <c r="S174" i="20"/>
  <c r="S130" i="20"/>
  <c r="S153" i="20"/>
  <c r="AP153" i="20" s="1"/>
  <c r="S158" i="20"/>
  <c r="S157" i="20"/>
  <c r="AB132" i="20"/>
  <c r="S46" i="20"/>
  <c r="S118" i="20"/>
  <c r="S55" i="20"/>
  <c r="T101" i="20"/>
  <c r="S111" i="20"/>
  <c r="N14" i="20"/>
  <c r="T67" i="20"/>
  <c r="S135" i="20"/>
  <c r="S140" i="20"/>
  <c r="AE130" i="20"/>
  <c r="S70" i="20"/>
  <c r="T98" i="20"/>
  <c r="S52" i="20"/>
  <c r="Y130" i="20"/>
  <c r="N30" i="20"/>
  <c r="S108" i="20"/>
  <c r="R38" i="20"/>
  <c r="S47" i="20"/>
  <c r="S69" i="20"/>
  <c r="S112" i="20"/>
  <c r="Y132" i="20"/>
  <c r="S150" i="20"/>
  <c r="AP150" i="20" s="1"/>
  <c r="S141" i="20"/>
  <c r="S132" i="20"/>
  <c r="S131" i="20"/>
  <c r="S152" i="20"/>
  <c r="AP152" i="20" s="1"/>
  <c r="S56" i="20"/>
  <c r="S71" i="20"/>
  <c r="T84" i="20"/>
  <c r="T104" i="20"/>
  <c r="S91" i="20"/>
  <c r="K35" i="20"/>
  <c r="Q9" i="20"/>
  <c r="S43" i="20"/>
  <c r="S147" i="20"/>
  <c r="AP147" i="20" s="1"/>
  <c r="S137" i="20"/>
  <c r="W8" i="20"/>
  <c r="Y8" i="20" s="1"/>
  <c r="Q14" i="20"/>
  <c r="S146" i="20"/>
  <c r="AP146" i="20" s="1"/>
  <c r="Q35" i="20"/>
  <c r="S44" i="20"/>
  <c r="S58" i="20"/>
  <c r="S61" i="20"/>
  <c r="S120" i="20"/>
  <c r="S128" i="20"/>
  <c r="AK8" i="20"/>
  <c r="K14" i="20"/>
  <c r="S73" i="20"/>
  <c r="T77" i="20"/>
  <c r="S96" i="20"/>
  <c r="S119" i="20"/>
  <c r="S121" i="20"/>
  <c r="S127" i="20"/>
  <c r="S129" i="20"/>
  <c r="S136" i="20"/>
  <c r="S122" i="20"/>
  <c r="S117" i="20"/>
  <c r="T105" i="20"/>
  <c r="T97" i="20"/>
  <c r="S90" i="20"/>
  <c r="S95" i="20"/>
  <c r="S94" i="20"/>
  <c r="S93" i="20"/>
  <c r="T83" i="20"/>
  <c r="T80" i="20"/>
  <c r="T64" i="20"/>
  <c r="S48" i="20"/>
  <c r="AF39" i="20"/>
  <c r="AF273" i="20" s="1"/>
  <c r="AF280" i="20" s="1"/>
  <c r="T39" i="20"/>
  <c r="S39" i="20"/>
  <c r="Z39" i="20"/>
  <c r="Z273" i="20" s="1"/>
  <c r="AB39" i="20"/>
  <c r="S38" i="20"/>
  <c r="AI38" i="20"/>
  <c r="L38" i="20"/>
  <c r="N36" i="20"/>
  <c r="Q36" i="20"/>
  <c r="S37" i="20"/>
  <c r="AI37" i="20"/>
  <c r="AI36" i="20"/>
  <c r="T36" i="20"/>
  <c r="T35" i="20"/>
  <c r="AK35" i="20"/>
  <c r="AL34" i="20"/>
  <c r="AL271" i="20" s="1"/>
  <c r="R34" i="20"/>
  <c r="S34" i="20"/>
  <c r="AI34" i="20"/>
  <c r="L34" i="20"/>
  <c r="T14" i="20"/>
  <c r="AI14" i="20"/>
  <c r="AK74" i="40"/>
  <c r="N77" i="40"/>
  <c r="AL83" i="40"/>
  <c r="AK77" i="40"/>
  <c r="AK71" i="40"/>
  <c r="Q60" i="40"/>
  <c r="L83" i="40"/>
  <c r="AK76" i="40"/>
  <c r="AK22" i="40"/>
  <c r="AI8" i="40"/>
  <c r="N41" i="40"/>
  <c r="AK51" i="40"/>
  <c r="AK14" i="40"/>
  <c r="N19" i="40"/>
  <c r="AI22" i="20"/>
  <c r="AI28" i="20"/>
  <c r="AI9" i="20"/>
  <c r="T13" i="20"/>
  <c r="K25" i="20"/>
  <c r="Q7" i="20"/>
  <c r="T28" i="20"/>
  <c r="N23" i="20"/>
  <c r="T24" i="20"/>
  <c r="N19" i="20"/>
  <c r="Q22" i="20"/>
  <c r="Q23" i="20"/>
  <c r="AI24" i="20"/>
  <c r="N17" i="20"/>
  <c r="Q19" i="20"/>
  <c r="N7" i="20"/>
  <c r="T9" i="20"/>
  <c r="AI19" i="20"/>
  <c r="T23" i="20"/>
  <c r="T22" i="20"/>
  <c r="N8" i="20"/>
  <c r="Q31" i="20"/>
  <c r="Q8" i="20"/>
  <c r="Q25" i="20"/>
  <c r="Q30" i="20"/>
  <c r="T31" i="20"/>
  <c r="Q17" i="20"/>
  <c r="K31" i="20"/>
  <c r="T17" i="20"/>
  <c r="N31" i="20"/>
  <c r="T12" i="20"/>
  <c r="T8" i="20"/>
  <c r="K13" i="20"/>
  <c r="K19" i="20"/>
  <c r="T25" i="20"/>
  <c r="T30" i="20"/>
  <c r="AI31" i="20"/>
  <c r="T7" i="20"/>
  <c r="T19" i="20"/>
  <c r="K17" i="20"/>
  <c r="AI25" i="20"/>
  <c r="AI30" i="20"/>
  <c r="AK24" i="20"/>
  <c r="N12" i="20"/>
  <c r="N13" i="20"/>
  <c r="Q12" i="20"/>
  <c r="K22" i="20"/>
  <c r="K7" i="20"/>
  <c r="AA8" i="20"/>
  <c r="AK17" i="20"/>
  <c r="Q13" i="20"/>
  <c r="N22" i="20"/>
  <c r="AA23" i="20"/>
  <c r="Q24" i="20"/>
  <c r="N25" i="20"/>
  <c r="Q28" i="20"/>
  <c r="AK12" i="20"/>
  <c r="AK13" i="20"/>
  <c r="AK9" i="20"/>
  <c r="K24" i="20"/>
  <c r="K28" i="20"/>
  <c r="AK25" i="20"/>
  <c r="AK7" i="20"/>
  <c r="K9" i="20"/>
  <c r="N28" i="20"/>
  <c r="Y23" i="20"/>
  <c r="N9" i="20"/>
  <c r="K30" i="20"/>
  <c r="K12" i="20"/>
  <c r="AI49" i="40"/>
  <c r="AA36" i="40"/>
  <c r="AE63" i="40"/>
  <c r="AE36" i="40"/>
  <c r="AA63" i="40"/>
  <c r="T67" i="40"/>
  <c r="T71" i="40"/>
  <c r="T76" i="40"/>
  <c r="R83" i="40"/>
  <c r="N36" i="40"/>
  <c r="T73" i="40"/>
  <c r="N53" i="40"/>
  <c r="K36" i="40"/>
  <c r="AI66" i="40"/>
  <c r="S83" i="40"/>
  <c r="N80" i="40"/>
  <c r="K80" i="40"/>
  <c r="K66" i="40"/>
  <c r="T78" i="40"/>
  <c r="K72" i="40"/>
  <c r="T62" i="40"/>
  <c r="T74" i="40"/>
  <c r="T63" i="40"/>
  <c r="Q66" i="40"/>
  <c r="Q68" i="40"/>
  <c r="N72" i="40"/>
  <c r="T80" i="40"/>
  <c r="N66" i="40"/>
  <c r="N68" i="40"/>
  <c r="T66" i="40"/>
  <c r="T68" i="40"/>
  <c r="AB72" i="40"/>
  <c r="Q77" i="40"/>
  <c r="T77" i="40"/>
  <c r="Q72" i="40"/>
  <c r="Q74" i="40"/>
  <c r="Q71" i="40"/>
  <c r="T72" i="40"/>
  <c r="Q78" i="40"/>
  <c r="T61" i="40"/>
  <c r="T60" i="40"/>
  <c r="K61" i="40"/>
  <c r="AI60" i="40"/>
  <c r="K73" i="40"/>
  <c r="K76" i="40"/>
  <c r="N78" i="40"/>
  <c r="K62" i="40"/>
  <c r="AI67" i="40"/>
  <c r="Q61" i="40"/>
  <c r="N73" i="40"/>
  <c r="AB63" i="40"/>
  <c r="N62" i="40"/>
  <c r="AI71" i="40"/>
  <c r="N63" i="40"/>
  <c r="K74" i="40"/>
  <c r="K77" i="40"/>
  <c r="AI80" i="40"/>
  <c r="Q62" i="40"/>
  <c r="Q67" i="40"/>
  <c r="K68" i="40"/>
  <c r="AI68" i="40"/>
  <c r="N71" i="40"/>
  <c r="K78" i="40"/>
  <c r="AI78" i="40"/>
  <c r="K60" i="40"/>
  <c r="N61" i="40"/>
  <c r="Y63" i="40"/>
  <c r="AI73" i="40"/>
  <c r="AI76" i="40"/>
  <c r="N60" i="40"/>
  <c r="K67" i="40"/>
  <c r="N76" i="40"/>
  <c r="K63" i="40"/>
  <c r="AI74" i="40"/>
  <c r="AI77" i="40"/>
  <c r="K49" i="40"/>
  <c r="N49" i="40"/>
  <c r="Q49" i="40"/>
  <c r="N30" i="40"/>
  <c r="L55" i="40"/>
  <c r="L86" i="40" s="1"/>
  <c r="O55" i="40"/>
  <c r="O86" i="40" s="1"/>
  <c r="R55" i="40"/>
  <c r="K55" i="40"/>
  <c r="S55" i="40" s="1"/>
  <c r="AP55" i="40" s="1"/>
  <c r="T49" i="40"/>
  <c r="Q41" i="40"/>
  <c r="N29" i="40"/>
  <c r="T36" i="40"/>
  <c r="T48" i="40"/>
  <c r="N42" i="40"/>
  <c r="T42" i="40"/>
  <c r="Q42" i="40"/>
  <c r="K42" i="40"/>
  <c r="AI42" i="40"/>
  <c r="T43" i="40"/>
  <c r="AI41" i="40"/>
  <c r="Q37" i="40"/>
  <c r="N37" i="40"/>
  <c r="K37" i="40"/>
  <c r="Q35" i="40"/>
  <c r="N35" i="40"/>
  <c r="K35" i="40"/>
  <c r="K28" i="40"/>
  <c r="T41" i="40"/>
  <c r="Q28" i="40"/>
  <c r="T28" i="40"/>
  <c r="Y36" i="40"/>
  <c r="Q52" i="40"/>
  <c r="N25" i="40"/>
  <c r="T47" i="40"/>
  <c r="N28" i="40"/>
  <c r="Q48" i="40"/>
  <c r="T52" i="40"/>
  <c r="T46" i="40"/>
  <c r="Q53" i="40"/>
  <c r="N51" i="40"/>
  <c r="T53" i="40"/>
  <c r="N18" i="40"/>
  <c r="K41" i="40"/>
  <c r="Q43" i="40"/>
  <c r="Q51" i="40"/>
  <c r="T51" i="40"/>
  <c r="Q46" i="40"/>
  <c r="K46" i="40"/>
  <c r="AI46" i="40"/>
  <c r="Y47" i="40"/>
  <c r="K48" i="40"/>
  <c r="AI48" i="40"/>
  <c r="K52" i="40"/>
  <c r="AI52" i="40"/>
  <c r="K43" i="40"/>
  <c r="AI43" i="40"/>
  <c r="N46" i="40"/>
  <c r="AA47" i="40"/>
  <c r="N48" i="40"/>
  <c r="N52" i="40"/>
  <c r="N43" i="40"/>
  <c r="K47" i="40"/>
  <c r="N47" i="40"/>
  <c r="AI53" i="40"/>
  <c r="K53" i="40"/>
  <c r="K51" i="40"/>
  <c r="K30" i="40"/>
  <c r="Q30" i="40"/>
  <c r="T30" i="40"/>
  <c r="AI30" i="40"/>
  <c r="Q29" i="40"/>
  <c r="T29" i="40"/>
  <c r="K29" i="40"/>
  <c r="AI29" i="40"/>
  <c r="Q25" i="40"/>
  <c r="T25" i="40"/>
  <c r="K25" i="40"/>
  <c r="AI25" i="40"/>
  <c r="N24" i="40"/>
  <c r="Q24" i="40"/>
  <c r="T24" i="40"/>
  <c r="K24" i="40"/>
  <c r="T96" i="40"/>
  <c r="K15" i="40"/>
  <c r="AG95" i="40"/>
  <c r="N15" i="40"/>
  <c r="Q19" i="40"/>
  <c r="Q9" i="40"/>
  <c r="Q15" i="40"/>
  <c r="AE9" i="40"/>
  <c r="N14" i="40"/>
  <c r="AI18" i="40"/>
  <c r="T19" i="40"/>
  <c r="AI19" i="40"/>
  <c r="K19" i="40"/>
  <c r="T18" i="40"/>
  <c r="Q18" i="40"/>
  <c r="K18" i="40"/>
  <c r="T15" i="40"/>
  <c r="AI15" i="40"/>
  <c r="T23" i="40"/>
  <c r="K9" i="40"/>
  <c r="AC95" i="40"/>
  <c r="S96" i="40"/>
  <c r="N9" i="40"/>
  <c r="K14" i="40"/>
  <c r="Q14" i="40"/>
  <c r="AI11" i="40"/>
  <c r="Q11" i="40"/>
  <c r="T11" i="40"/>
  <c r="T10" i="40"/>
  <c r="AI10" i="40"/>
  <c r="Q8" i="40"/>
  <c r="Q22" i="40"/>
  <c r="N10" i="40"/>
  <c r="Q10" i="40"/>
  <c r="K10" i="40"/>
  <c r="Y23" i="40"/>
  <c r="T9" i="40"/>
  <c r="K22" i="40"/>
  <c r="N22" i="40"/>
  <c r="T22" i="40"/>
  <c r="T8" i="40"/>
  <c r="T14" i="40"/>
  <c r="N8" i="40"/>
  <c r="AA23" i="40"/>
  <c r="K11" i="40"/>
  <c r="N11" i="40"/>
  <c r="Q23" i="40"/>
  <c r="K23" i="40"/>
  <c r="K8" i="40"/>
  <c r="Y9" i="40"/>
  <c r="AB9" i="40"/>
  <c r="AA273" i="20" l="1"/>
  <c r="AL273" i="20"/>
  <c r="AL84" i="40"/>
  <c r="AL86" i="40" s="1"/>
  <c r="AL279" i="20"/>
  <c r="AL281" i="20" s="1"/>
  <c r="AI273" i="20"/>
  <c r="S296" i="22"/>
  <c r="K273" i="20"/>
  <c r="K279" i="20" s="1"/>
  <c r="AB86" i="40"/>
  <c r="AB93" i="40" s="1"/>
  <c r="AB95" i="40" s="1"/>
  <c r="T55" i="40"/>
  <c r="S47" i="40"/>
  <c r="AP47" i="40" s="1"/>
  <c r="S63" i="40"/>
  <c r="T83" i="40"/>
  <c r="S36" i="40"/>
  <c r="O273" i="20"/>
  <c r="N273" i="20"/>
  <c r="L273" i="20"/>
  <c r="AK271" i="20"/>
  <c r="AK272" i="20" s="1"/>
  <c r="R273" i="20"/>
  <c r="Y273" i="20"/>
  <c r="Y279" i="20" s="1"/>
  <c r="AK84" i="40"/>
  <c r="AK85" i="40" s="1"/>
  <c r="F25" i="12"/>
  <c r="E26" i="12"/>
  <c r="E38" i="12"/>
  <c r="F37" i="12"/>
  <c r="Q273" i="20"/>
  <c r="S36" i="20"/>
  <c r="T34" i="20"/>
  <c r="T37" i="20"/>
  <c r="S31" i="20"/>
  <c r="AP31" i="20" s="1"/>
  <c r="S23" i="20"/>
  <c r="AP23" i="20" s="1"/>
  <c r="S35" i="20"/>
  <c r="T38" i="20"/>
  <c r="S14" i="20"/>
  <c r="AB8" i="20"/>
  <c r="AB273" i="20" s="1"/>
  <c r="AE8" i="20"/>
  <c r="AE273" i="20" s="1"/>
  <c r="S22" i="20"/>
  <c r="AP22" i="20" s="1"/>
  <c r="Y86" i="40"/>
  <c r="Y92" i="40" s="1"/>
  <c r="Y95" i="40" s="1"/>
  <c r="R86" i="40"/>
  <c r="R93" i="40" s="1"/>
  <c r="AA86" i="40"/>
  <c r="AA92" i="40" s="1"/>
  <c r="AA95" i="40" s="1"/>
  <c r="AI86" i="40"/>
  <c r="AI92" i="40" s="1"/>
  <c r="AI95" i="40" s="1"/>
  <c r="E3" i="8" s="1"/>
  <c r="N86" i="40"/>
  <c r="K86" i="40"/>
  <c r="K92" i="40" s="1"/>
  <c r="K95" i="40" s="1"/>
  <c r="E5" i="6" s="1"/>
  <c r="S24" i="20"/>
  <c r="AP24" i="20" s="1"/>
  <c r="S8" i="20"/>
  <c r="S7" i="20"/>
  <c r="S19" i="20"/>
  <c r="S9" i="20"/>
  <c r="S25" i="20"/>
  <c r="AP25" i="20" s="1"/>
  <c r="S28" i="20"/>
  <c r="AP28" i="20" s="1"/>
  <c r="S30" i="20"/>
  <c r="AP30" i="20" s="1"/>
  <c r="S12" i="20"/>
  <c r="S17" i="20"/>
  <c r="S13" i="20"/>
  <c r="AE86" i="40"/>
  <c r="AE92" i="40" s="1"/>
  <c r="AE95" i="40" s="1"/>
  <c r="Q86" i="40"/>
  <c r="Q92" i="40" s="1"/>
  <c r="S76" i="40"/>
  <c r="AP76" i="40" s="1"/>
  <c r="S49" i="40"/>
  <c r="AP49" i="40" s="1"/>
  <c r="S78" i="40"/>
  <c r="AP78" i="40" s="1"/>
  <c r="S74" i="40"/>
  <c r="AP74" i="40" s="1"/>
  <c r="S80" i="40"/>
  <c r="S77" i="40"/>
  <c r="AP77" i="40" s="1"/>
  <c r="S68" i="40"/>
  <c r="S72" i="40"/>
  <c r="AP72" i="40" s="1"/>
  <c r="S73" i="40"/>
  <c r="AP73" i="40" s="1"/>
  <c r="S66" i="40"/>
  <c r="S71" i="40"/>
  <c r="AP71" i="40" s="1"/>
  <c r="S60" i="40"/>
  <c r="S67" i="40"/>
  <c r="S62" i="40"/>
  <c r="S61" i="40"/>
  <c r="S41" i="40"/>
  <c r="S19" i="40"/>
  <c r="S30" i="40"/>
  <c r="AP30" i="40" s="1"/>
  <c r="S48" i="40"/>
  <c r="AP48" i="40" s="1"/>
  <c r="S42" i="40"/>
  <c r="S28" i="40"/>
  <c r="AP28" i="40" s="1"/>
  <c r="S37" i="40"/>
  <c r="S35" i="40"/>
  <c r="S46" i="40"/>
  <c r="AP46" i="40" s="1"/>
  <c r="S25" i="40"/>
  <c r="AP25" i="40" s="1"/>
  <c r="S24" i="40"/>
  <c r="AP24" i="40" s="1"/>
  <c r="S43" i="40"/>
  <c r="S18" i="40"/>
  <c r="S52" i="40"/>
  <c r="AP52" i="40" s="1"/>
  <c r="S51" i="40"/>
  <c r="AP51" i="40" s="1"/>
  <c r="S53" i="40"/>
  <c r="AP53" i="40" s="1"/>
  <c r="S29" i="40"/>
  <c r="AP29" i="40" s="1"/>
  <c r="S9" i="40"/>
  <c r="S15" i="40"/>
  <c r="AF93" i="40"/>
  <c r="AF95" i="40" s="1"/>
  <c r="S14" i="40"/>
  <c r="Z93" i="40"/>
  <c r="Z95" i="40" s="1"/>
  <c r="AL92" i="40"/>
  <c r="AL94" i="40" s="1"/>
  <c r="U5" i="6" s="1"/>
  <c r="S11" i="40"/>
  <c r="S10" i="40"/>
  <c r="O93" i="40"/>
  <c r="O95" i="40" s="1"/>
  <c r="P5" i="6" s="1"/>
  <c r="L93" i="40"/>
  <c r="L95" i="40" s="1"/>
  <c r="O5" i="6" s="1"/>
  <c r="S8" i="40"/>
  <c r="S23" i="40"/>
  <c r="AP23" i="40" s="1"/>
  <c r="S22" i="40"/>
  <c r="AP271" i="20" l="1"/>
  <c r="T86" i="40"/>
  <c r="I5" i="6"/>
  <c r="AB5" i="6"/>
  <c r="H5" i="6"/>
  <c r="AC5" i="6"/>
  <c r="AF97" i="40"/>
  <c r="S5" i="6" s="1"/>
  <c r="AF96" i="40"/>
  <c r="J3" i="8" s="1"/>
  <c r="Z97" i="40"/>
  <c r="R5" i="6" s="1"/>
  <c r="Z96" i="40"/>
  <c r="O3" i="8" s="1"/>
  <c r="AP272" i="20"/>
  <c r="AK278" i="20" s="1"/>
  <c r="F26" i="12"/>
  <c r="E27" i="12"/>
  <c r="E39" i="12"/>
  <c r="F38" i="12"/>
  <c r="T273" i="20"/>
  <c r="S273" i="20"/>
  <c r="S86" i="40"/>
  <c r="AB96" i="40"/>
  <c r="M5" i="6" s="1"/>
  <c r="R95" i="40"/>
  <c r="Q5" i="6" s="1"/>
  <c r="T93" i="40"/>
  <c r="T95" i="40" s="1"/>
  <c r="T100" i="40" s="1"/>
  <c r="M20" i="6" s="1"/>
  <c r="Q95" i="40"/>
  <c r="G5" i="6" s="1"/>
  <c r="N92" i="40"/>
  <c r="N95" i="40" s="1"/>
  <c r="F5" i="6" s="1"/>
  <c r="AP22" i="40"/>
  <c r="H20" i="6" l="1"/>
  <c r="S287" i="20"/>
  <c r="E31" i="16"/>
  <c r="F33" i="25" s="1"/>
  <c r="H33" i="25" s="1"/>
  <c r="I33" i="25" s="1"/>
  <c r="E33" i="16"/>
  <c r="F35" i="25" s="1"/>
  <c r="H35" i="25" s="1"/>
  <c r="I35" i="25" s="1"/>
  <c r="E32" i="16"/>
  <c r="F34" i="25" s="1"/>
  <c r="H34" i="25" s="1"/>
  <c r="I34" i="25" s="1"/>
  <c r="J5" i="6"/>
  <c r="F27" i="12"/>
  <c r="E28" i="12"/>
  <c r="E40" i="12"/>
  <c r="F39" i="12"/>
  <c r="AP84" i="40"/>
  <c r="AP85" i="40" s="1"/>
  <c r="AK91" i="40" s="1"/>
  <c r="AK94" i="40" s="1"/>
  <c r="K5" i="6" s="1"/>
  <c r="S92" i="40"/>
  <c r="S95" i="40" s="1"/>
  <c r="S98" i="40" l="1"/>
  <c r="S100" i="40"/>
  <c r="L20" i="6" s="1"/>
  <c r="G31" i="16"/>
  <c r="H31" i="16" s="1"/>
  <c r="G33" i="16"/>
  <c r="H33" i="16" s="1"/>
  <c r="I33" i="16"/>
  <c r="G32" i="16"/>
  <c r="H32" i="16" s="1"/>
  <c r="L5" i="6"/>
  <c r="Z5" i="6" s="1"/>
  <c r="AA5" i="6" s="1"/>
  <c r="E30" i="16" s="1"/>
  <c r="E29" i="12"/>
  <c r="F29" i="12" s="1"/>
  <c r="F28" i="12"/>
  <c r="E41" i="12"/>
  <c r="F40" i="12"/>
  <c r="I31" i="16" l="1"/>
  <c r="I32" i="16"/>
  <c r="F32" i="25"/>
  <c r="H32" i="25" s="1"/>
  <c r="I32" i="25" s="1"/>
  <c r="G30" i="16"/>
  <c r="I30" i="16" s="1"/>
  <c r="E42" i="12"/>
  <c r="F42" i="12" s="1"/>
  <c r="F41" i="12"/>
  <c r="H30" i="16" l="1"/>
  <c r="R11" i="25"/>
  <c r="R13" i="25"/>
  <c r="R15" i="25"/>
  <c r="R17" i="25"/>
  <c r="R19" i="25"/>
  <c r="R21" i="25"/>
  <c r="R8" i="25"/>
  <c r="R56" i="25"/>
  <c r="R45" i="25"/>
  <c r="R44" i="25"/>
  <c r="S44" i="25" s="1"/>
  <c r="R43" i="25"/>
  <c r="R42" i="25"/>
  <c r="S42" i="25" s="1"/>
  <c r="R41" i="25"/>
  <c r="R40" i="25"/>
  <c r="S40" i="25" s="1"/>
  <c r="R38" i="25"/>
  <c r="R37" i="25"/>
  <c r="R36" i="25"/>
  <c r="S36" i="25" s="1"/>
  <c r="R35" i="25"/>
  <c r="R34" i="25"/>
  <c r="R33" i="25"/>
  <c r="R31" i="25"/>
  <c r="Q27" i="25"/>
  <c r="R27" i="25" s="1"/>
  <c r="R26" i="25"/>
  <c r="S25" i="25"/>
  <c r="R22" i="25"/>
  <c r="S22" i="25" s="1"/>
  <c r="R20" i="25"/>
  <c r="S20" i="25" s="1"/>
  <c r="R18" i="25"/>
  <c r="R16" i="25"/>
  <c r="R14" i="25"/>
  <c r="R12" i="25"/>
  <c r="R10" i="25"/>
  <c r="R9" i="25"/>
  <c r="M9" i="25"/>
  <c r="M10" i="25" s="1"/>
  <c r="M11" i="25" s="1"/>
  <c r="M12" i="25" s="1"/>
  <c r="M13" i="25" s="1"/>
  <c r="M14" i="25" s="1"/>
  <c r="M15" i="25" s="1"/>
  <c r="M16" i="25" s="1"/>
  <c r="M17" i="25" s="1"/>
  <c r="M18" i="25" s="1"/>
  <c r="M19" i="25" s="1"/>
  <c r="M20" i="25" s="1"/>
  <c r="M21" i="25" s="1"/>
  <c r="M22" i="25" s="1"/>
  <c r="M24" i="25" l="1"/>
  <c r="M25" i="25" s="1"/>
  <c r="M26" i="25" s="1"/>
  <c r="M27" i="25" s="1"/>
  <c r="M31" i="25" s="1"/>
  <c r="M33" i="25" s="1"/>
  <c r="M34" i="25" s="1"/>
  <c r="M35" i="25" s="1"/>
  <c r="M36" i="25" s="1"/>
  <c r="M37" i="25" s="1"/>
  <c r="M38" i="25" s="1"/>
  <c r="M40" i="25" s="1"/>
  <c r="M41" i="25" s="1"/>
  <c r="M42" i="25" s="1"/>
  <c r="M43" i="25" s="1"/>
  <c r="M44" i="25" s="1"/>
  <c r="M45" i="25" s="1"/>
  <c r="M56" i="25" s="1"/>
  <c r="R70" i="25"/>
  <c r="T8" i="25"/>
  <c r="S10" i="25"/>
  <c r="S14" i="25"/>
  <c r="S18" i="25"/>
  <c r="S34" i="25"/>
  <c r="S12" i="25"/>
  <c r="T12" i="25"/>
  <c r="S16" i="25"/>
  <c r="T16" i="25"/>
  <c r="T20" i="25"/>
  <c r="T25" i="25"/>
  <c r="T42" i="25"/>
  <c r="T38" i="25"/>
  <c r="S38" i="25"/>
  <c r="S45" i="25"/>
  <c r="T31" i="25"/>
  <c r="S31" i="25"/>
  <c r="T37" i="25"/>
  <c r="S37" i="25"/>
  <c r="T41" i="25"/>
  <c r="S41" i="25"/>
  <c r="T9" i="25"/>
  <c r="S9" i="25"/>
  <c r="T11" i="25"/>
  <c r="S11" i="25"/>
  <c r="T13" i="25"/>
  <c r="S13" i="25"/>
  <c r="T27" i="25"/>
  <c r="S27" i="25"/>
  <c r="T43" i="25"/>
  <c r="S43" i="25"/>
  <c r="T56" i="25"/>
  <c r="S56" i="25"/>
  <c r="R28" i="25"/>
  <c r="T19" i="25"/>
  <c r="S19" i="25"/>
  <c r="T21" i="25"/>
  <c r="S21" i="25"/>
  <c r="T24" i="25"/>
  <c r="S24" i="25"/>
  <c r="T26" i="25"/>
  <c r="S26" i="25"/>
  <c r="T35" i="25"/>
  <c r="S35" i="25"/>
  <c r="T15" i="25"/>
  <c r="S15" i="25"/>
  <c r="T17" i="25"/>
  <c r="S17" i="25"/>
  <c r="T33" i="25"/>
  <c r="S33" i="25"/>
  <c r="T14" i="25"/>
  <c r="T18" i="25"/>
  <c r="T22" i="25"/>
  <c r="T34" i="25"/>
  <c r="T40" i="25"/>
  <c r="T44" i="25"/>
  <c r="T45" i="25"/>
  <c r="T10" i="25"/>
  <c r="S8" i="25"/>
  <c r="T36" i="25"/>
  <c r="S70" i="25" l="1"/>
  <c r="R72" i="25"/>
  <c r="R75" i="25" s="1"/>
  <c r="T70" i="25"/>
  <c r="S28" i="25"/>
  <c r="T28" i="25"/>
  <c r="S72" i="25" l="1"/>
  <c r="T72" i="25"/>
  <c r="G9" i="25"/>
  <c r="G10" i="25"/>
  <c r="G11" i="25"/>
  <c r="G12" i="25"/>
  <c r="G13" i="25"/>
  <c r="G14" i="25"/>
  <c r="G15" i="25"/>
  <c r="G16" i="25"/>
  <c r="G17" i="25"/>
  <c r="G18" i="25"/>
  <c r="G19" i="25"/>
  <c r="G20" i="25"/>
  <c r="G24" i="25"/>
  <c r="G25" i="25"/>
  <c r="G26" i="25"/>
  <c r="G8" i="25"/>
  <c r="C9" i="25"/>
  <c r="C10" i="25" s="1"/>
  <c r="C11" i="25" s="1"/>
  <c r="C12" i="25" s="1"/>
  <c r="C13" i="25" s="1"/>
  <c r="C14" i="25" s="1"/>
  <c r="C15" i="25" s="1"/>
  <c r="C16" i="25" s="1"/>
  <c r="C17" i="25" s="1"/>
  <c r="C18" i="25" s="1"/>
  <c r="C19" i="25" s="1"/>
  <c r="C20" i="25" s="1"/>
  <c r="C21" i="25" s="1"/>
  <c r="C22" i="25" l="1"/>
  <c r="C24" i="25" s="1"/>
  <c r="C25" i="25"/>
  <c r="C26" i="25" s="1"/>
  <c r="C27" i="25" s="1"/>
  <c r="C31" i="25" s="1"/>
  <c r="C32" i="25" s="1"/>
  <c r="C33" i="25" s="1"/>
  <c r="C34" i="25" s="1"/>
  <c r="C35" i="25" s="1"/>
  <c r="C36" i="25" s="1"/>
  <c r="C37" i="25" s="1"/>
  <c r="C40" i="25" s="1"/>
  <c r="C41" i="25" s="1"/>
  <c r="C42" i="25" s="1"/>
  <c r="C43" i="25" s="1"/>
  <c r="C44" i="25" s="1"/>
  <c r="C45" i="25" s="1"/>
  <c r="C48" i="25" l="1"/>
  <c r="C49" i="25" s="1"/>
  <c r="C50" i="25" s="1"/>
  <c r="C51" i="25" s="1"/>
  <c r="C52" i="25" s="1"/>
  <c r="C53" i="25" s="1"/>
  <c r="C46" i="25"/>
  <c r="AP78" i="4"/>
  <c r="AP80" i="4" s="1"/>
  <c r="AJ18" i="4"/>
  <c r="AJ19" i="4"/>
  <c r="AJ20" i="4"/>
  <c r="AJ21" i="4"/>
  <c r="AJ22" i="4"/>
  <c r="AJ24" i="4"/>
  <c r="AJ25" i="4"/>
  <c r="AJ26" i="4"/>
  <c r="AJ29" i="4"/>
  <c r="AJ30" i="4"/>
  <c r="AJ31" i="4"/>
  <c r="AJ32" i="4"/>
  <c r="AJ34" i="4"/>
  <c r="AJ36" i="4"/>
  <c r="AJ37" i="4"/>
  <c r="AJ38" i="4"/>
  <c r="AK13" i="4"/>
  <c r="AK17" i="4"/>
  <c r="AJ13" i="4"/>
  <c r="AJ14" i="4"/>
  <c r="AJ15" i="4"/>
  <c r="AJ16" i="4"/>
  <c r="AJ17" i="4"/>
  <c r="AK12" i="4"/>
  <c r="AJ12" i="4"/>
  <c r="AN93" i="4"/>
  <c r="AN92" i="4"/>
  <c r="AO77" i="4"/>
  <c r="AK77" i="4"/>
  <c r="AK37" i="4"/>
  <c r="AK36" i="4"/>
  <c r="AM35" i="4"/>
  <c r="AL35" i="4"/>
  <c r="AM33" i="4"/>
  <c r="AL33" i="4"/>
  <c r="AK33" i="4"/>
  <c r="AM32" i="4"/>
  <c r="AL32" i="4"/>
  <c r="AK32" i="4"/>
  <c r="AK31" i="4"/>
  <c r="AM30" i="4"/>
  <c r="AK30" i="4"/>
  <c r="AL29" i="4"/>
  <c r="AK29" i="4"/>
  <c r="AM28" i="4"/>
  <c r="AK28" i="4"/>
  <c r="AK26" i="4"/>
  <c r="AK24" i="4"/>
  <c r="AL21" i="4"/>
  <c r="AM15" i="4"/>
  <c r="AL11" i="4"/>
  <c r="AJ11" i="4"/>
  <c r="AK10" i="4"/>
  <c r="AJ10" i="4"/>
  <c r="AK8" i="4"/>
  <c r="AK7" i="4"/>
  <c r="AK6" i="4"/>
  <c r="AJ6" i="4"/>
  <c r="AO286" i="20"/>
  <c r="AO285" i="20"/>
  <c r="AO290" i="21"/>
  <c r="AO289" i="21"/>
  <c r="AQ275" i="21"/>
  <c r="AQ277" i="21" s="1"/>
  <c r="AP274" i="21"/>
  <c r="AL274" i="21"/>
  <c r="AL11" i="21"/>
  <c r="AN8" i="21"/>
  <c r="AL8" i="21"/>
  <c r="AL7" i="21"/>
  <c r="AO288" i="22"/>
  <c r="AO287" i="22"/>
  <c r="C56" i="25" l="1"/>
  <c r="C57" i="25" s="1"/>
  <c r="C58" i="25" s="1"/>
  <c r="C59" i="25" s="1"/>
  <c r="C60" i="25" s="1"/>
  <c r="C61" i="25" s="1"/>
  <c r="C54" i="25"/>
  <c r="AO290" i="22"/>
  <c r="AN95" i="4"/>
  <c r="AO288" i="20"/>
  <c r="AO292" i="21"/>
  <c r="AM275" i="21"/>
  <c r="AM276" i="21" s="1"/>
  <c r="AN275" i="21"/>
  <c r="AN277" i="21" s="1"/>
  <c r="C64" i="25" l="1"/>
  <c r="C65" i="25" s="1"/>
  <c r="C66" i="25" s="1"/>
  <c r="C67" i="25" s="1"/>
  <c r="C68" i="25" s="1"/>
  <c r="C69" i="25" s="1"/>
  <c r="C62" i="25"/>
  <c r="AQ275" i="22"/>
  <c r="AN273" i="22" l="1"/>
  <c r="AN275" i="22" s="1"/>
  <c r="AM273" i="22"/>
  <c r="AM274" i="22" s="1"/>
  <c r="AO275" i="22"/>
  <c r="AK273" i="22" l="1"/>
  <c r="AL273" i="22"/>
  <c r="E73" i="24" l="1"/>
  <c r="E74" i="24" s="1"/>
  <c r="G72" i="24"/>
  <c r="D70" i="24"/>
  <c r="A70" i="24"/>
  <c r="E55" i="24"/>
  <c r="I38" i="24" s="1"/>
  <c r="D53" i="24"/>
  <c r="E39" i="24"/>
  <c r="E40" i="24" s="1"/>
  <c r="G38" i="24"/>
  <c r="D36" i="24"/>
  <c r="E34" i="24"/>
  <c r="G34" i="24" s="1"/>
  <c r="G33" i="24"/>
  <c r="D32" i="24"/>
  <c r="G29" i="24"/>
  <c r="G28" i="24"/>
  <c r="G27" i="24"/>
  <c r="G26" i="24"/>
  <c r="G25" i="24"/>
  <c r="F24" i="24"/>
  <c r="G24" i="24" s="1"/>
  <c r="G23" i="24"/>
  <c r="F22" i="24"/>
  <c r="G22" i="24" s="1"/>
  <c r="G21" i="24"/>
  <c r="F20" i="24"/>
  <c r="G20" i="24" s="1"/>
  <c r="G19" i="24"/>
  <c r="G18" i="24"/>
  <c r="G17" i="24"/>
  <c r="F16" i="24"/>
  <c r="G16" i="24" s="1"/>
  <c r="G15" i="24"/>
  <c r="F14" i="24"/>
  <c r="G14" i="24" s="1"/>
  <c r="G13" i="24"/>
  <c r="F12" i="24"/>
  <c r="G12" i="24" s="1"/>
  <c r="G11" i="24"/>
  <c r="G10" i="24"/>
  <c r="G9" i="24"/>
  <c r="F8" i="24"/>
  <c r="G8" i="24" s="1"/>
  <c r="G7" i="24"/>
  <c r="F6" i="24"/>
  <c r="G6" i="24" s="1"/>
  <c r="F5" i="24"/>
  <c r="G5" i="24" s="1"/>
  <c r="G35" i="24" l="1"/>
  <c r="G74" i="24"/>
  <c r="E75" i="24"/>
  <c r="G30" i="24"/>
  <c r="G40" i="24"/>
  <c r="E41" i="24"/>
  <c r="G41" i="24" s="1"/>
  <c r="E42" i="24"/>
  <c r="G39" i="24"/>
  <c r="G55" i="24"/>
  <c r="G73" i="24"/>
  <c r="E56" i="24"/>
  <c r="G75" i="24" l="1"/>
  <c r="E76" i="24"/>
  <c r="G56" i="24"/>
  <c r="E57" i="24"/>
  <c r="G42" i="24"/>
  <c r="E43" i="24"/>
  <c r="E44" i="24" l="1"/>
  <c r="G43" i="24"/>
  <c r="G57" i="24"/>
  <c r="E58" i="24"/>
  <c r="G58" i="24" s="1"/>
  <c r="E59" i="24"/>
  <c r="G76" i="24"/>
  <c r="E77" i="24"/>
  <c r="E78" i="24" l="1"/>
  <c r="G78" i="24" s="1"/>
  <c r="G77" i="24"/>
  <c r="E60" i="24"/>
  <c r="G59" i="24"/>
  <c r="G44" i="24"/>
  <c r="E45" i="24"/>
  <c r="G60" i="24" l="1"/>
  <c r="E61" i="24"/>
  <c r="G45" i="24"/>
  <c r="E46" i="24"/>
  <c r="G79" i="24"/>
  <c r="G46" i="24" l="1"/>
  <c r="E47" i="24"/>
  <c r="G61" i="24"/>
  <c r="E62" i="24"/>
  <c r="G62" i="24" l="1"/>
  <c r="E63" i="24"/>
  <c r="E48" i="24"/>
  <c r="G47" i="24"/>
  <c r="G48" i="24" l="1"/>
  <c r="E49" i="24"/>
  <c r="E64" i="24"/>
  <c r="G63" i="24"/>
  <c r="E50" i="24" l="1"/>
  <c r="G49" i="24"/>
  <c r="G64" i="24"/>
  <c r="E65" i="24"/>
  <c r="E66" i="24" l="1"/>
  <c r="G65" i="24"/>
  <c r="G50" i="24"/>
  <c r="E51" i="24"/>
  <c r="G51" i="24" s="1"/>
  <c r="G52" i="24" s="1"/>
  <c r="G66" i="24" l="1"/>
  <c r="E67" i="24"/>
  <c r="E68" i="24" l="1"/>
  <c r="G68" i="24" s="1"/>
  <c r="G67" i="24"/>
  <c r="G69" i="24" l="1"/>
  <c r="G80" i="24" s="1"/>
  <c r="H4" i="25" l="1"/>
  <c r="J69" i="25" s="1"/>
  <c r="J55" i="25" l="1"/>
  <c r="J47" i="25"/>
  <c r="J63" i="25"/>
  <c r="J46" i="25"/>
  <c r="J53" i="25"/>
  <c r="J61" i="25"/>
  <c r="J45" i="25"/>
  <c r="J54" i="25"/>
  <c r="J62" i="25"/>
  <c r="J37" i="25"/>
  <c r="J36" i="25"/>
  <c r="J34" i="25"/>
  <c r="J35" i="25"/>
  <c r="J33" i="25"/>
  <c r="J32" i="25"/>
  <c r="K183" i="9"/>
  <c r="I183" i="9"/>
  <c r="D191" i="9" s="1"/>
  <c r="L183" i="9"/>
  <c r="J88" i="15"/>
  <c r="G88" i="15"/>
  <c r="J87" i="15"/>
  <c r="I86" i="15"/>
  <c r="G86" i="15"/>
  <c r="G87" i="15" s="1"/>
  <c r="J84" i="15"/>
  <c r="G84" i="15"/>
  <c r="J83" i="15"/>
  <c r="I82" i="15"/>
  <c r="G82" i="15"/>
  <c r="G83" i="15" s="1"/>
  <c r="J80" i="15"/>
  <c r="G80" i="15"/>
  <c r="J79" i="15"/>
  <c r="I78" i="15"/>
  <c r="G78" i="15"/>
  <c r="G79" i="15" s="1"/>
  <c r="G74" i="15"/>
  <c r="G75" i="15" s="1"/>
  <c r="J76" i="15"/>
  <c r="G76" i="15"/>
  <c r="J75" i="15"/>
  <c r="I74" i="15"/>
  <c r="J72" i="15"/>
  <c r="G72" i="15"/>
  <c r="J71" i="15"/>
  <c r="I70" i="15"/>
  <c r="G70" i="15"/>
  <c r="G71" i="15" s="1"/>
  <c r="J68" i="15"/>
  <c r="G68" i="15"/>
  <c r="J67" i="15"/>
  <c r="I66" i="15"/>
  <c r="G66" i="15"/>
  <c r="G67" i="15" s="1"/>
  <c r="G62" i="15"/>
  <c r="G63" i="15" s="1"/>
  <c r="J64" i="15"/>
  <c r="G64" i="15"/>
  <c r="F64" i="15"/>
  <c r="J63" i="15"/>
  <c r="I62" i="15"/>
  <c r="G58" i="15"/>
  <c r="G59" i="15" s="1"/>
  <c r="J60" i="15"/>
  <c r="G60" i="15"/>
  <c r="J59" i="15"/>
  <c r="I58" i="15"/>
  <c r="J56" i="15"/>
  <c r="G56" i="15"/>
  <c r="J55" i="15"/>
  <c r="I54" i="15"/>
  <c r="G54" i="15"/>
  <c r="G55" i="15" s="1"/>
  <c r="J52" i="15"/>
  <c r="G52" i="15"/>
  <c r="J51" i="15"/>
  <c r="G51" i="15"/>
  <c r="I50" i="15"/>
  <c r="F52" i="15"/>
  <c r="J48" i="15"/>
  <c r="G48" i="15"/>
  <c r="J47" i="15"/>
  <c r="I46" i="15"/>
  <c r="G47" i="15"/>
  <c r="G42" i="15"/>
  <c r="G43" i="15" s="1"/>
  <c r="J44" i="15"/>
  <c r="G44" i="15"/>
  <c r="J43" i="15"/>
  <c r="I42" i="15"/>
  <c r="J40" i="15"/>
  <c r="G40" i="15"/>
  <c r="J39" i="15"/>
  <c r="I38" i="15"/>
  <c r="G39" i="15"/>
  <c r="J36" i="15"/>
  <c r="G36" i="15"/>
  <c r="J35" i="15"/>
  <c r="I34" i="15"/>
  <c r="G34" i="15"/>
  <c r="G35" i="15" s="1"/>
  <c r="G31" i="15"/>
  <c r="F28" i="15"/>
  <c r="J32" i="15"/>
  <c r="G32" i="15"/>
  <c r="J31" i="15"/>
  <c r="I30" i="15"/>
  <c r="J28" i="15"/>
  <c r="G28" i="15"/>
  <c r="J27" i="15"/>
  <c r="I26" i="15"/>
  <c r="G22" i="15"/>
  <c r="G23" i="15" s="1"/>
  <c r="J24" i="15"/>
  <c r="G24" i="15"/>
  <c r="J23" i="15"/>
  <c r="I22" i="15"/>
  <c r="F20" i="15"/>
  <c r="J20" i="15"/>
  <c r="G20" i="15"/>
  <c r="J19" i="15"/>
  <c r="I18" i="15"/>
  <c r="O15" i="15"/>
  <c r="P15" i="15"/>
  <c r="Q15" i="15"/>
  <c r="E18" i="15" s="1"/>
  <c r="R15" i="15"/>
  <c r="E22" i="15" s="1"/>
  <c r="S15" i="15"/>
  <c r="E26" i="15" s="1"/>
  <c r="H26" i="15" s="1"/>
  <c r="J26" i="15" s="1"/>
  <c r="T15" i="15"/>
  <c r="E30" i="15" s="1"/>
  <c r="E31" i="15" s="1"/>
  <c r="E32" i="15" s="1"/>
  <c r="U15" i="15"/>
  <c r="E34" i="15" s="1"/>
  <c r="V15" i="15"/>
  <c r="E38" i="15" s="1"/>
  <c r="E39" i="15" s="1"/>
  <c r="E40" i="15" s="1"/>
  <c r="W15" i="15"/>
  <c r="E42" i="15" s="1"/>
  <c r="E43" i="15" s="1"/>
  <c r="E44" i="15" s="1"/>
  <c r="X15" i="15"/>
  <c r="E46" i="15" s="1"/>
  <c r="E47" i="15" s="1"/>
  <c r="E48" i="15" s="1"/>
  <c r="Y15" i="15"/>
  <c r="E50" i="15" s="1"/>
  <c r="E51" i="15" s="1"/>
  <c r="E52" i="15" s="1"/>
  <c r="Z15" i="15"/>
  <c r="E54" i="15" s="1"/>
  <c r="E55" i="15" s="1"/>
  <c r="E56" i="15" s="1"/>
  <c r="AA15" i="15"/>
  <c r="E58" i="15" s="1"/>
  <c r="AB15" i="15"/>
  <c r="E62" i="15" s="1"/>
  <c r="E63" i="15" s="1"/>
  <c r="E64" i="15" s="1"/>
  <c r="AC15" i="15"/>
  <c r="E66" i="15" s="1"/>
  <c r="E67" i="15" s="1"/>
  <c r="E68" i="15" s="1"/>
  <c r="AD15" i="15"/>
  <c r="E70" i="15" s="1"/>
  <c r="E71" i="15" s="1"/>
  <c r="E72" i="15" s="1"/>
  <c r="AE15" i="15"/>
  <c r="E74" i="15" s="1"/>
  <c r="AF15" i="15"/>
  <c r="E78" i="15" s="1"/>
  <c r="E79" i="15" s="1"/>
  <c r="E80" i="15" s="1"/>
  <c r="AG15" i="15"/>
  <c r="AH15" i="15"/>
  <c r="E82" i="15" s="1"/>
  <c r="E83" i="15" s="1"/>
  <c r="E84" i="15" s="1"/>
  <c r="AI15" i="15"/>
  <c r="AJ15" i="15"/>
  <c r="E86" i="15" s="1"/>
  <c r="E87" i="15" s="1"/>
  <c r="E88" i="15" s="1"/>
  <c r="H58" i="15" l="1"/>
  <c r="J58" i="15" s="1"/>
  <c r="H34" i="15"/>
  <c r="J34" i="15" s="1"/>
  <c r="E35" i="15"/>
  <c r="E36" i="15" s="1"/>
  <c r="E59" i="15"/>
  <c r="E60" i="15" s="1"/>
  <c r="E191" i="9"/>
  <c r="R183" i="9"/>
  <c r="R184" i="9" s="1"/>
  <c r="R185" i="9" s="1"/>
  <c r="H191" i="9" s="1"/>
  <c r="Q183" i="9"/>
  <c r="Q184" i="9" s="1"/>
  <c r="Q185" i="9" s="1"/>
  <c r="G191" i="9" s="1"/>
  <c r="M183" i="9"/>
  <c r="F191" i="9" s="1"/>
  <c r="H22" i="15"/>
  <c r="J22" i="15" s="1"/>
  <c r="E23" i="15"/>
  <c r="E24" i="15" s="1"/>
  <c r="H74" i="15"/>
  <c r="J74" i="15" s="1"/>
  <c r="E75" i="15"/>
  <c r="E76" i="15" s="1"/>
  <c r="F36" i="15"/>
  <c r="H87" i="15"/>
  <c r="I87" i="15" s="1"/>
  <c r="H83" i="15"/>
  <c r="I83" i="15" s="1"/>
  <c r="F84" i="15"/>
  <c r="H84" i="15" s="1"/>
  <c r="I84" i="15" s="1"/>
  <c r="F88" i="15"/>
  <c r="H88" i="15" s="1"/>
  <c r="I88" i="15" s="1"/>
  <c r="H82" i="15"/>
  <c r="J82" i="15" s="1"/>
  <c r="H86" i="15"/>
  <c r="J86" i="15" s="1"/>
  <c r="H79" i="15"/>
  <c r="I79" i="15" s="1"/>
  <c r="F80" i="15"/>
  <c r="H80" i="15" s="1"/>
  <c r="I80" i="15" s="1"/>
  <c r="H78" i="15"/>
  <c r="J78" i="15" s="1"/>
  <c r="F76" i="15"/>
  <c r="H71" i="15"/>
  <c r="I71" i="15" s="1"/>
  <c r="F72" i="15"/>
  <c r="H72" i="15" s="1"/>
  <c r="I72" i="15" s="1"/>
  <c r="H70" i="15"/>
  <c r="J70" i="15" s="1"/>
  <c r="H67" i="15"/>
  <c r="I67" i="15" s="1"/>
  <c r="F68" i="15"/>
  <c r="H68" i="15" s="1"/>
  <c r="I68" i="15" s="1"/>
  <c r="H66" i="15"/>
  <c r="J66" i="15" s="1"/>
  <c r="H62" i="15"/>
  <c r="J62" i="15" s="1"/>
  <c r="H64" i="15"/>
  <c r="I64" i="15" s="1"/>
  <c r="H63" i="15"/>
  <c r="I63" i="15" s="1"/>
  <c r="F60" i="15"/>
  <c r="H55" i="15"/>
  <c r="I55" i="15" s="1"/>
  <c r="F56" i="15"/>
  <c r="H56" i="15" s="1"/>
  <c r="I56" i="15" s="1"/>
  <c r="H54" i="15"/>
  <c r="J54" i="15" s="1"/>
  <c r="H50" i="15"/>
  <c r="J50" i="15" s="1"/>
  <c r="H52" i="15"/>
  <c r="I52" i="15" s="1"/>
  <c r="H51" i="15"/>
  <c r="I51" i="15" s="1"/>
  <c r="H47" i="15"/>
  <c r="I47" i="15" s="1"/>
  <c r="F48" i="15"/>
  <c r="H48" i="15" s="1"/>
  <c r="I48" i="15" s="1"/>
  <c r="H46" i="15"/>
  <c r="J46" i="15" s="1"/>
  <c r="H43" i="15"/>
  <c r="I43" i="15" s="1"/>
  <c r="H39" i="15"/>
  <c r="I39" i="15" s="1"/>
  <c r="F44" i="15"/>
  <c r="H44" i="15" s="1"/>
  <c r="I44" i="15" s="1"/>
  <c r="H42" i="15"/>
  <c r="J42" i="15" s="1"/>
  <c r="F40" i="15"/>
  <c r="H40" i="15" s="1"/>
  <c r="I40" i="15" s="1"/>
  <c r="H38" i="15"/>
  <c r="J38" i="15" s="1"/>
  <c r="H31" i="15"/>
  <c r="I31" i="15" s="1"/>
  <c r="F32" i="15"/>
  <c r="H32" i="15" s="1"/>
  <c r="I32" i="15" s="1"/>
  <c r="H30" i="15"/>
  <c r="J30" i="15" s="1"/>
  <c r="E27" i="15"/>
  <c r="E28" i="15" s="1"/>
  <c r="H28" i="15" s="1"/>
  <c r="I28" i="15" s="1"/>
  <c r="G27" i="15"/>
  <c r="F24" i="15"/>
  <c r="G19" i="15"/>
  <c r="H18" i="15"/>
  <c r="J18" i="15" s="1"/>
  <c r="E19" i="15"/>
  <c r="E20" i="15" s="1"/>
  <c r="H20" i="15" s="1"/>
  <c r="I20" i="15" s="1"/>
  <c r="H75" i="15" l="1"/>
  <c r="I75" i="15" s="1"/>
  <c r="H35" i="15"/>
  <c r="I35" i="15" s="1"/>
  <c r="H36" i="15"/>
  <c r="I36" i="15" s="1"/>
  <c r="H27" i="15"/>
  <c r="I27" i="15" s="1"/>
  <c r="I10" i="7"/>
  <c r="H59" i="15"/>
  <c r="I59" i="15" s="1"/>
  <c r="H76" i="15"/>
  <c r="I76" i="15" s="1"/>
  <c r="H60" i="15"/>
  <c r="I60" i="15" s="1"/>
  <c r="H23" i="15"/>
  <c r="I23" i="15" s="1"/>
  <c r="H24" i="15"/>
  <c r="I24" i="15" s="1"/>
  <c r="H19" i="15"/>
  <c r="I19" i="15" s="1"/>
  <c r="AG78" i="4"/>
  <c r="Z29" i="4" l="1"/>
  <c r="W29" i="4"/>
  <c r="AB29" i="4" s="1"/>
  <c r="R29" i="4"/>
  <c r="O29" i="4"/>
  <c r="L29" i="4"/>
  <c r="H29" i="4"/>
  <c r="AE29" i="4" s="1"/>
  <c r="AH26" i="4"/>
  <c r="AB26" i="4"/>
  <c r="R26" i="4"/>
  <c r="O26" i="4"/>
  <c r="L26" i="4"/>
  <c r="H26" i="4"/>
  <c r="AE26" i="4" s="1"/>
  <c r="AB35" i="4"/>
  <c r="R35" i="4"/>
  <c r="O35" i="4"/>
  <c r="L35" i="4"/>
  <c r="H35" i="4"/>
  <c r="AH34" i="4"/>
  <c r="AB34" i="4"/>
  <c r="R34" i="4"/>
  <c r="O34" i="4"/>
  <c r="L34" i="4"/>
  <c r="H34" i="4"/>
  <c r="Z33" i="4"/>
  <c r="W33" i="4"/>
  <c r="AB33" i="4" s="1"/>
  <c r="R33" i="4"/>
  <c r="O33" i="4"/>
  <c r="L33" i="4"/>
  <c r="H33" i="4"/>
  <c r="Q33" i="4" s="1"/>
  <c r="AH32" i="4"/>
  <c r="AB32" i="4"/>
  <c r="R32" i="4"/>
  <c r="O32" i="4"/>
  <c r="L32" i="4"/>
  <c r="H32" i="4"/>
  <c r="AB28" i="4"/>
  <c r="R28" i="4"/>
  <c r="O28" i="4"/>
  <c r="L28" i="4"/>
  <c r="H28" i="4"/>
  <c r="AH25" i="4"/>
  <c r="AB25" i="4"/>
  <c r="R25" i="4"/>
  <c r="O25" i="4"/>
  <c r="L25" i="4"/>
  <c r="H25" i="4"/>
  <c r="Y22" i="4"/>
  <c r="Q22" i="4"/>
  <c r="N22" i="4"/>
  <c r="K22" i="4"/>
  <c r="H22" i="4"/>
  <c r="Z22" i="4" s="1"/>
  <c r="Y21" i="4"/>
  <c r="Q21" i="4"/>
  <c r="N21" i="4"/>
  <c r="K21" i="4"/>
  <c r="H21" i="4"/>
  <c r="Z21" i="4" s="1"/>
  <c r="Y20" i="4"/>
  <c r="Q20" i="4"/>
  <c r="N20" i="4"/>
  <c r="K20" i="4"/>
  <c r="H20" i="4"/>
  <c r="Z20" i="4" s="1"/>
  <c r="Y19" i="4"/>
  <c r="Q19" i="4"/>
  <c r="N19" i="4"/>
  <c r="K19" i="4"/>
  <c r="H19" i="4"/>
  <c r="Z19" i="4" s="1"/>
  <c r="O18" i="4"/>
  <c r="Y18" i="4"/>
  <c r="Q18" i="4"/>
  <c r="N18" i="4"/>
  <c r="K18" i="4"/>
  <c r="H18" i="4"/>
  <c r="Z18" i="4" s="1"/>
  <c r="Z17" i="4"/>
  <c r="R17" i="4"/>
  <c r="O17" i="4"/>
  <c r="L17" i="4"/>
  <c r="H17" i="4"/>
  <c r="Y17" i="4" s="1"/>
  <c r="H16" i="4"/>
  <c r="Z16" i="4" s="1"/>
  <c r="H15" i="4"/>
  <c r="Z15" i="4" s="1"/>
  <c r="H14" i="4"/>
  <c r="Z14" i="4" s="1"/>
  <c r="L6" i="4"/>
  <c r="Z12" i="4"/>
  <c r="R12" i="4"/>
  <c r="O12" i="4"/>
  <c r="L12" i="4"/>
  <c r="H12" i="4"/>
  <c r="Y12" i="4" s="1"/>
  <c r="Y11" i="4"/>
  <c r="Q11" i="4"/>
  <c r="N11" i="4"/>
  <c r="K11" i="4"/>
  <c r="H11" i="4"/>
  <c r="Z11" i="4" s="1"/>
  <c r="Z9" i="4"/>
  <c r="R9" i="4"/>
  <c r="O9" i="4"/>
  <c r="L9" i="4"/>
  <c r="H9" i="4"/>
  <c r="Y9" i="4" s="1"/>
  <c r="L8" i="4"/>
  <c r="H8" i="4"/>
  <c r="Z8" i="4" s="1"/>
  <c r="L7" i="4"/>
  <c r="H7" i="4"/>
  <c r="Z7" i="4" s="1"/>
  <c r="H6" i="4"/>
  <c r="Z6" i="4" s="1"/>
  <c r="K15" i="4" l="1"/>
  <c r="N15" i="4"/>
  <c r="Q15" i="4"/>
  <c r="Y15" i="4"/>
  <c r="K16" i="4"/>
  <c r="N16" i="4"/>
  <c r="Q16" i="4"/>
  <c r="Y16" i="4"/>
  <c r="Q14" i="4"/>
  <c r="K14" i="4"/>
  <c r="N14" i="4"/>
  <c r="Y14" i="4"/>
  <c r="N8" i="4"/>
  <c r="Q8" i="4"/>
  <c r="N6" i="4"/>
  <c r="Y6" i="4"/>
  <c r="Y8" i="4"/>
  <c r="K6" i="4"/>
  <c r="Q6" i="4"/>
  <c r="K8" i="4"/>
  <c r="K7" i="4"/>
  <c r="Q7" i="4"/>
  <c r="Y7" i="4"/>
  <c r="N7" i="4"/>
  <c r="L11" i="4"/>
  <c r="AK11" i="4"/>
  <c r="R16" i="4"/>
  <c r="AK16" i="4"/>
  <c r="R18" i="4"/>
  <c r="AK18" i="4"/>
  <c r="O19" i="4"/>
  <c r="AK19" i="4"/>
  <c r="L20" i="4"/>
  <c r="AK20" i="4"/>
  <c r="R15" i="4"/>
  <c r="AK15" i="4"/>
  <c r="O22" i="4"/>
  <c r="AK22" i="4"/>
  <c r="AH35" i="4"/>
  <c r="AJ35" i="4"/>
  <c r="O14" i="4"/>
  <c r="AK14" i="4"/>
  <c r="R21" i="4"/>
  <c r="AK21" i="4"/>
  <c r="AH28" i="4"/>
  <c r="AJ28" i="4"/>
  <c r="L18" i="4"/>
  <c r="K35" i="4"/>
  <c r="Q34" i="4"/>
  <c r="Q32" i="4"/>
  <c r="N34" i="4"/>
  <c r="AE32" i="4"/>
  <c r="T34" i="4"/>
  <c r="Q35" i="4"/>
  <c r="K32" i="4"/>
  <c r="T33" i="4"/>
  <c r="AE33" i="4"/>
  <c r="T35" i="4"/>
  <c r="T29" i="4"/>
  <c r="T32" i="4"/>
  <c r="AE34" i="4"/>
  <c r="Q25" i="4"/>
  <c r="N32" i="4"/>
  <c r="Y33" i="4"/>
  <c r="K34" i="4"/>
  <c r="N25" i="4"/>
  <c r="N29" i="4"/>
  <c r="AA29" i="4"/>
  <c r="K25" i="4"/>
  <c r="K29" i="4"/>
  <c r="Q29" i="4"/>
  <c r="Y29" i="4"/>
  <c r="K28" i="4"/>
  <c r="T26" i="4"/>
  <c r="AE25" i="4"/>
  <c r="T28" i="4"/>
  <c r="K26" i="4"/>
  <c r="Q26" i="4"/>
  <c r="N28" i="4"/>
  <c r="N26" i="4"/>
  <c r="Q28" i="4"/>
  <c r="T25" i="4"/>
  <c r="AE28" i="4"/>
  <c r="N33" i="4"/>
  <c r="N35" i="4"/>
  <c r="AE35" i="4"/>
  <c r="AA33" i="4"/>
  <c r="K33" i="4"/>
  <c r="S20" i="4"/>
  <c r="L19" i="4"/>
  <c r="R19" i="4"/>
  <c r="L21" i="4"/>
  <c r="S22" i="4"/>
  <c r="O20" i="4"/>
  <c r="O21" i="4"/>
  <c r="S19" i="4"/>
  <c r="L22" i="4"/>
  <c r="R22" i="4"/>
  <c r="S21" i="4"/>
  <c r="R20" i="4"/>
  <c r="S18" i="4"/>
  <c r="O8" i="4"/>
  <c r="T17" i="4"/>
  <c r="N17" i="4"/>
  <c r="K17" i="4"/>
  <c r="Q17" i="4"/>
  <c r="O16" i="4"/>
  <c r="R14" i="4"/>
  <c r="L14" i="4"/>
  <c r="L16" i="4"/>
  <c r="L15" i="4"/>
  <c r="O15" i="4"/>
  <c r="K12" i="4"/>
  <c r="N12" i="4"/>
  <c r="T12" i="4"/>
  <c r="Q12" i="4"/>
  <c r="R11" i="4"/>
  <c r="O11" i="4"/>
  <c r="S11" i="4"/>
  <c r="N9" i="4"/>
  <c r="Q9" i="4"/>
  <c r="K9" i="4"/>
  <c r="T9" i="4"/>
  <c r="O6" i="4"/>
  <c r="O7" i="4"/>
  <c r="R8" i="4"/>
  <c r="R7" i="4"/>
  <c r="R6" i="4"/>
  <c r="S15" i="4" l="1"/>
  <c r="S16" i="4"/>
  <c r="S14" i="4"/>
  <c r="S6" i="4"/>
  <c r="S7" i="4"/>
  <c r="AL7" i="4" s="1"/>
  <c r="S8" i="4"/>
  <c r="AL8" i="4" s="1"/>
  <c r="T20" i="4"/>
  <c r="T18" i="4"/>
  <c r="AJ78" i="4"/>
  <c r="AJ79" i="4" s="1"/>
  <c r="AK78" i="4"/>
  <c r="AK80" i="4" s="1"/>
  <c r="T19" i="4"/>
  <c r="S25" i="4"/>
  <c r="T7" i="4"/>
  <c r="AM7" i="4" s="1"/>
  <c r="S34" i="4"/>
  <c r="S33" i="4"/>
  <c r="S32" i="4"/>
  <c r="S35" i="4"/>
  <c r="S29" i="4"/>
  <c r="S28" i="4"/>
  <c r="S26" i="4"/>
  <c r="T21" i="4"/>
  <c r="T22" i="4"/>
  <c r="T16" i="4"/>
  <c r="T8" i="4"/>
  <c r="AM8" i="4" s="1"/>
  <c r="S17" i="4"/>
  <c r="T15" i="4"/>
  <c r="T14" i="4"/>
  <c r="S12" i="4"/>
  <c r="T11" i="4"/>
  <c r="S9" i="4"/>
  <c r="AL9" i="4" s="1"/>
  <c r="T6" i="4"/>
  <c r="AL6" i="4" l="1"/>
  <c r="AM6" i="4"/>
  <c r="AL286" i="20"/>
  <c r="U6" i="6"/>
  <c r="AM78" i="4"/>
  <c r="AM80" i="4" s="1"/>
  <c r="AL78" i="4"/>
  <c r="R284" i="22"/>
  <c r="Q284" i="22"/>
  <c r="O284" i="22"/>
  <c r="N284" i="22"/>
  <c r="H284" i="22"/>
  <c r="P283" i="22"/>
  <c r="M283" i="22"/>
  <c r="AH281" i="22"/>
  <c r="AG281" i="22"/>
  <c r="AD281" i="22"/>
  <c r="AC281" i="22"/>
  <c r="AH280" i="22"/>
  <c r="AG280" i="22"/>
  <c r="AD280" i="22"/>
  <c r="AC280" i="22"/>
  <c r="Z274" i="22"/>
  <c r="Y274" i="22"/>
  <c r="W274" i="22"/>
  <c r="AB274" i="22" s="1"/>
  <c r="H274" i="22"/>
  <c r="AC283" i="22" l="1"/>
  <c r="AD283" i="22"/>
  <c r="AG283" i="22"/>
  <c r="AH283" i="22"/>
  <c r="AL79" i="4"/>
  <c r="S284" i="22"/>
  <c r="T284" i="22"/>
  <c r="AD274" i="22"/>
  <c r="AH274" i="22" s="1"/>
  <c r="AA274" i="22"/>
  <c r="AF274" i="22" s="1"/>
  <c r="AO275" i="21" l="1"/>
  <c r="AO277" i="21" s="1"/>
  <c r="AK274" i="22"/>
  <c r="R281" i="22"/>
  <c r="AB281" i="22"/>
  <c r="AB283" i="22" s="1"/>
  <c r="Q280" i="22"/>
  <c r="N280" i="22"/>
  <c r="N283" i="22" s="1"/>
  <c r="F8" i="6" s="1"/>
  <c r="F9" i="6" s="1"/>
  <c r="Y280" i="22"/>
  <c r="Y283" i="22" s="1"/>
  <c r="AF280" i="22"/>
  <c r="L281" i="22"/>
  <c r="L283" i="22" s="1"/>
  <c r="O8" i="6" s="1"/>
  <c r="O9" i="6" s="1"/>
  <c r="AL275" i="22"/>
  <c r="AI280" i="22"/>
  <c r="AI283" i="22" s="1"/>
  <c r="E9" i="8" s="1"/>
  <c r="E11" i="8" s="1"/>
  <c r="K280" i="22"/>
  <c r="K283" i="22" s="1"/>
  <c r="E8" i="6" s="1"/>
  <c r="E9" i="6" s="1"/>
  <c r="AE280" i="22"/>
  <c r="AE283" i="22" s="1"/>
  <c r="Z281" i="22"/>
  <c r="Z283" i="22" s="1"/>
  <c r="O281" i="22"/>
  <c r="O283" i="22" s="1"/>
  <c r="P8" i="6" s="1"/>
  <c r="P9" i="6" s="1"/>
  <c r="AE274" i="22"/>
  <c r="AI274" i="22" s="1"/>
  <c r="AA280" i="22"/>
  <c r="AA283" i="22" s="1"/>
  <c r="AB284" i="22" l="1"/>
  <c r="M8" i="6" s="1"/>
  <c r="I8" i="6"/>
  <c r="I9" i="6" s="1"/>
  <c r="H8" i="6"/>
  <c r="AC8" i="6"/>
  <c r="AP274" i="22"/>
  <c r="AK280" i="22" s="1"/>
  <c r="AK283" i="22" s="1"/>
  <c r="AL281" i="22"/>
  <c r="AL283" i="22" s="1"/>
  <c r="Z285" i="22"/>
  <c r="R8" i="6" s="1"/>
  <c r="R9" i="6" s="1"/>
  <c r="AF281" i="22"/>
  <c r="AF283" i="22" s="1"/>
  <c r="AB8" i="6" s="1"/>
  <c r="O9" i="8"/>
  <c r="O11" i="8" s="1"/>
  <c r="R283" i="22"/>
  <c r="Q8" i="6" s="1"/>
  <c r="Q9" i="6" s="1"/>
  <c r="T281" i="22"/>
  <c r="T283" i="22" s="1"/>
  <c r="M23" i="6" s="1"/>
  <c r="M24" i="6" s="1"/>
  <c r="S280" i="22"/>
  <c r="S283" i="22" s="1"/>
  <c r="L23" i="6" s="1"/>
  <c r="L24" i="6" s="1"/>
  <c r="Q283" i="22"/>
  <c r="G8" i="6" s="1"/>
  <c r="G9" i="6" s="1"/>
  <c r="H9" i="6" l="1"/>
  <c r="H24" i="6" s="1"/>
  <c r="H23" i="6"/>
  <c r="M9" i="6"/>
  <c r="E59" i="16"/>
  <c r="S295" i="22"/>
  <c r="AB9" i="6"/>
  <c r="E58" i="16" s="1"/>
  <c r="F59" i="25"/>
  <c r="H59" i="25" s="1"/>
  <c r="G59" i="16"/>
  <c r="AC9" i="6"/>
  <c r="E60" i="16" s="1"/>
  <c r="AK288" i="22"/>
  <c r="AP290" i="22"/>
  <c r="K8" i="6"/>
  <c r="AL288" i="22"/>
  <c r="U8" i="6"/>
  <c r="AF285" i="22"/>
  <c r="S8" i="6" s="1"/>
  <c r="S9" i="6" s="1"/>
  <c r="AF284" i="22"/>
  <c r="J9" i="8" s="1"/>
  <c r="J11" i="8" s="1"/>
  <c r="F58" i="25" l="1"/>
  <c r="H58" i="25" s="1"/>
  <c r="G58" i="16"/>
  <c r="G60" i="16"/>
  <c r="F60" i="25"/>
  <c r="H60" i="25" s="1"/>
  <c r="I59" i="16"/>
  <c r="H59" i="16"/>
  <c r="I59" i="25"/>
  <c r="J59" i="25"/>
  <c r="K9" i="6"/>
  <c r="U9" i="6"/>
  <c r="AK7" i="21"/>
  <c r="AI11" i="21"/>
  <c r="AF11" i="21"/>
  <c r="Z11" i="21"/>
  <c r="W11" i="21"/>
  <c r="R11" i="21"/>
  <c r="O11" i="21"/>
  <c r="L11" i="21"/>
  <c r="H11" i="21"/>
  <c r="AA11" i="21" s="1"/>
  <c r="AF9" i="21"/>
  <c r="AB9" i="21"/>
  <c r="R9" i="21"/>
  <c r="O9" i="21"/>
  <c r="L9" i="21"/>
  <c r="H9" i="21"/>
  <c r="AI8" i="21"/>
  <c r="AF8" i="21"/>
  <c r="Z8" i="21"/>
  <c r="W8" i="21"/>
  <c r="AB8" i="21" s="1"/>
  <c r="R8" i="21"/>
  <c r="O8" i="21"/>
  <c r="L8" i="21"/>
  <c r="H8" i="21"/>
  <c r="AA8" i="21" s="1"/>
  <c r="R286" i="21"/>
  <c r="Q286" i="21"/>
  <c r="O286" i="21"/>
  <c r="N286" i="21"/>
  <c r="H286" i="21"/>
  <c r="P285" i="21"/>
  <c r="M285" i="21"/>
  <c r="AH283" i="21"/>
  <c r="AG283" i="21"/>
  <c r="AD283" i="21"/>
  <c r="AC283" i="21"/>
  <c r="AH282" i="21"/>
  <c r="AG282" i="21"/>
  <c r="AD282" i="21"/>
  <c r="AC282" i="21"/>
  <c r="Z276" i="21"/>
  <c r="Y276" i="21"/>
  <c r="W276" i="21"/>
  <c r="AB276" i="21" s="1"/>
  <c r="H276" i="21"/>
  <c r="AA276" i="21" s="1"/>
  <c r="R7" i="21"/>
  <c r="O7" i="21"/>
  <c r="L7" i="21"/>
  <c r="J7" i="21"/>
  <c r="P7" i="21" s="1"/>
  <c r="H7" i="21"/>
  <c r="R275" i="21" l="1"/>
  <c r="L275" i="21"/>
  <c r="I60" i="25"/>
  <c r="J60" i="25"/>
  <c r="I58" i="25"/>
  <c r="J58" i="25"/>
  <c r="H58" i="16"/>
  <c r="I58" i="16"/>
  <c r="O275" i="21"/>
  <c r="H60" i="16"/>
  <c r="I60" i="16"/>
  <c r="AG285" i="21"/>
  <c r="AH285" i="21"/>
  <c r="AC285" i="21"/>
  <c r="AI9" i="21"/>
  <c r="AK9" i="21"/>
  <c r="AD285" i="21"/>
  <c r="T286" i="21"/>
  <c r="K7" i="21"/>
  <c r="Q7" i="21"/>
  <c r="AF276" i="21"/>
  <c r="S286" i="21"/>
  <c r="AE11" i="21"/>
  <c r="T11" i="21"/>
  <c r="Q9" i="21"/>
  <c r="T9" i="21"/>
  <c r="K11" i="21"/>
  <c r="Q11" i="21"/>
  <c r="AB11" i="21"/>
  <c r="Y11" i="21"/>
  <c r="N11" i="21"/>
  <c r="K9" i="21"/>
  <c r="N9" i="21"/>
  <c r="AE9" i="21"/>
  <c r="T7" i="21"/>
  <c r="T8" i="21"/>
  <c r="K8" i="21"/>
  <c r="Q8" i="21"/>
  <c r="Y8" i="21"/>
  <c r="AE8" i="21"/>
  <c r="N8" i="21"/>
  <c r="AI7" i="21"/>
  <c r="N7" i="21"/>
  <c r="AE276" i="21"/>
  <c r="AD276" i="21"/>
  <c r="E35" i="5"/>
  <c r="T275" i="21" l="1"/>
  <c r="Q275" i="21"/>
  <c r="Q282" i="21" s="1"/>
  <c r="N275" i="21"/>
  <c r="N282" i="21" s="1"/>
  <c r="N285" i="21" s="1"/>
  <c r="F7" i="6" s="1"/>
  <c r="AK275" i="21"/>
  <c r="AK276" i="21" s="1"/>
  <c r="AL275" i="21"/>
  <c r="AL277" i="21" s="1"/>
  <c r="AL283" i="21" s="1"/>
  <c r="AL285" i="21" s="1"/>
  <c r="S11" i="21"/>
  <c r="S9" i="21"/>
  <c r="Z275" i="21"/>
  <c r="L283" i="21"/>
  <c r="L285" i="21" s="1"/>
  <c r="O7" i="6" s="1"/>
  <c r="Y275" i="21"/>
  <c r="Y282" i="21" s="1"/>
  <c r="Y285" i="21" s="1"/>
  <c r="K275" i="21"/>
  <c r="K282" i="21" s="1"/>
  <c r="K285" i="21" s="1"/>
  <c r="E7" i="6" s="1"/>
  <c r="S8" i="21"/>
  <c r="R283" i="21"/>
  <c r="AI276" i="21"/>
  <c r="AH276" i="21"/>
  <c r="O283" i="21"/>
  <c r="O285" i="21" s="1"/>
  <c r="P7" i="6" s="1"/>
  <c r="AA275" i="21"/>
  <c r="AA282" i="21" s="1"/>
  <c r="AA285" i="21" s="1"/>
  <c r="S7" i="21"/>
  <c r="AI275" i="21"/>
  <c r="AI282" i="21" s="1"/>
  <c r="AI285" i="21" s="1"/>
  <c r="E7" i="8" s="1"/>
  <c r="Z283" i="21" l="1"/>
  <c r="Z285" i="21" s="1"/>
  <c r="H7" i="6"/>
  <c r="AL290" i="21"/>
  <c r="U7" i="6"/>
  <c r="AE275" i="21"/>
  <c r="AE282" i="21" s="1"/>
  <c r="AE285" i="21" s="1"/>
  <c r="AF275" i="21"/>
  <c r="AF283" i="21" s="1"/>
  <c r="AB275" i="21"/>
  <c r="AB283" i="21" s="1"/>
  <c r="AB285" i="21" s="1"/>
  <c r="AB286" i="21" s="1"/>
  <c r="M7" i="6" s="1"/>
  <c r="E50" i="16" s="1"/>
  <c r="S275" i="21"/>
  <c r="S290" i="21" s="1"/>
  <c r="S282" i="21"/>
  <c r="S285" i="21" s="1"/>
  <c r="L22" i="6" s="1"/>
  <c r="Q285" i="21"/>
  <c r="G7" i="6" s="1"/>
  <c r="R285" i="21"/>
  <c r="Q7" i="6" s="1"/>
  <c r="T283" i="21"/>
  <c r="T285" i="21" s="1"/>
  <c r="M22" i="6" s="1"/>
  <c r="O7" i="8" l="1"/>
  <c r="AC7" i="6"/>
  <c r="E51" i="16" s="1"/>
  <c r="Z287" i="21"/>
  <c r="R7" i="6" s="1"/>
  <c r="H22" i="6" s="1"/>
  <c r="AP275" i="21"/>
  <c r="AP276" i="21" s="1"/>
  <c r="AK282" i="21" s="1"/>
  <c r="AK285" i="21" s="1"/>
  <c r="S288" i="21"/>
  <c r="J7" i="8"/>
  <c r="I7" i="6"/>
  <c r="AF282" i="21"/>
  <c r="AF285" i="21" s="1"/>
  <c r="AF286" i="21" s="1"/>
  <c r="AF287" i="21" s="1"/>
  <c r="S7" i="6" s="1"/>
  <c r="B5" i="5"/>
  <c r="B6" i="5" s="1"/>
  <c r="B7" i="5" s="1"/>
  <c r="B8" i="5" s="1"/>
  <c r="B9" i="5" s="1"/>
  <c r="B10" i="5" s="1"/>
  <c r="B11" i="5" s="1"/>
  <c r="B12" i="5" s="1"/>
  <c r="B13" i="5" s="1"/>
  <c r="B14" i="5" s="1"/>
  <c r="B15" i="5" s="1"/>
  <c r="B16" i="5" s="1"/>
  <c r="B17" i="5" s="1"/>
  <c r="B18" i="5" s="1"/>
  <c r="B19" i="5" s="1"/>
  <c r="B20" i="5" s="1"/>
  <c r="R283" i="20"/>
  <c r="Q283" i="20"/>
  <c r="O283" i="20"/>
  <c r="N283" i="20"/>
  <c r="H283" i="20"/>
  <c r="P282" i="20"/>
  <c r="M282" i="20"/>
  <c r="AG280" i="20"/>
  <c r="AC280" i="20"/>
  <c r="AH282" i="20"/>
  <c r="AG279" i="20"/>
  <c r="AD282" i="20"/>
  <c r="AC279" i="20"/>
  <c r="AB7" i="6" l="1"/>
  <c r="E49" i="16" s="1"/>
  <c r="G49" i="16" s="1"/>
  <c r="T283" i="20"/>
  <c r="K7" i="6"/>
  <c r="AK290" i="21"/>
  <c r="AP292" i="21"/>
  <c r="S283" i="20"/>
  <c r="AC282" i="20"/>
  <c r="AG282" i="20"/>
  <c r="F50" i="25" l="1"/>
  <c r="H50" i="25" s="1"/>
  <c r="I50" i="25" s="1"/>
  <c r="I49" i="16"/>
  <c r="H49" i="16"/>
  <c r="Z280" i="20"/>
  <c r="Z282" i="20" s="1"/>
  <c r="R280" i="20"/>
  <c r="R282" i="20" s="1"/>
  <c r="Q6" i="6" s="1"/>
  <c r="AI279" i="20"/>
  <c r="AI282" i="20" s="1"/>
  <c r="E5" i="8" s="1"/>
  <c r="AF282" i="20"/>
  <c r="L280" i="20"/>
  <c r="L282" i="20" s="1"/>
  <c r="O6" i="6" s="1"/>
  <c r="O280" i="20"/>
  <c r="O282" i="20" s="1"/>
  <c r="P6" i="6" s="1"/>
  <c r="O8" i="5"/>
  <c r="J50" i="25" l="1"/>
  <c r="AF284" i="20"/>
  <c r="S6" i="6" s="1"/>
  <c r="S12" i="6" s="1"/>
  <c r="AF283" i="20"/>
  <c r="Z284" i="20"/>
  <c r="R6" i="6" s="1"/>
  <c r="R12" i="6" s="1"/>
  <c r="M30" i="6" s="1"/>
  <c r="Q279" i="20"/>
  <c r="Q282" i="20" s="1"/>
  <c r="G6" i="6" s="1"/>
  <c r="AK281" i="20"/>
  <c r="Y282" i="20"/>
  <c r="AC6" i="6" s="1"/>
  <c r="N279" i="20"/>
  <c r="N282" i="20" s="1"/>
  <c r="F6" i="6" s="1"/>
  <c r="AA279" i="20"/>
  <c r="AA282" i="20" s="1"/>
  <c r="AE279" i="20"/>
  <c r="AE282" i="20" s="1"/>
  <c r="AB6" i="6" s="1"/>
  <c r="AB280" i="20"/>
  <c r="AB282" i="20" s="1"/>
  <c r="K282" i="20"/>
  <c r="E6" i="6" s="1"/>
  <c r="T280" i="20"/>
  <c r="T282" i="20" s="1"/>
  <c r="M21" i="6" s="1"/>
  <c r="I8" i="5"/>
  <c r="F8" i="5"/>
  <c r="P8" i="5"/>
  <c r="T6" i="6" l="1"/>
  <c r="V6" i="6" s="1"/>
  <c r="H6" i="6"/>
  <c r="H21" i="6" s="1"/>
  <c r="K6" i="6"/>
  <c r="AP288" i="20"/>
  <c r="AK286" i="20"/>
  <c r="AB283" i="20"/>
  <c r="M6" i="6" s="1"/>
  <c r="E41" i="16" s="1"/>
  <c r="I6" i="6"/>
  <c r="S279" i="20"/>
  <c r="S282" i="20" s="1"/>
  <c r="Y6" i="6" l="1"/>
  <c r="E38" i="16" s="1"/>
  <c r="F40" i="25" s="1"/>
  <c r="H40" i="25" s="1"/>
  <c r="S285" i="20"/>
  <c r="S290" i="20" s="1"/>
  <c r="L21" i="6"/>
  <c r="E42" i="16"/>
  <c r="F44" i="25" s="1"/>
  <c r="H44" i="25" s="1"/>
  <c r="E40" i="16"/>
  <c r="F42" i="25" s="1"/>
  <c r="H42" i="25" s="1"/>
  <c r="T5" i="6"/>
  <c r="V5" i="6" s="1"/>
  <c r="J6" i="6"/>
  <c r="O5" i="8"/>
  <c r="F43" i="25"/>
  <c r="H43" i="25" s="1"/>
  <c r="J5" i="8"/>
  <c r="J40" i="25" l="1"/>
  <c r="I40" i="25"/>
  <c r="F52" i="25"/>
  <c r="H52" i="25" s="1"/>
  <c r="G51" i="16"/>
  <c r="F51" i="25"/>
  <c r="H51" i="25" s="1"/>
  <c r="G50" i="16"/>
  <c r="I44" i="25"/>
  <c r="J44" i="25"/>
  <c r="J43" i="25"/>
  <c r="I43" i="25"/>
  <c r="J42" i="25"/>
  <c r="I42" i="25"/>
  <c r="Y5" i="6"/>
  <c r="E29" i="16" s="1"/>
  <c r="F31" i="25" s="1"/>
  <c r="H31" i="25" s="1"/>
  <c r="L6" i="6"/>
  <c r="G40" i="16"/>
  <c r="G42" i="16"/>
  <c r="G43" i="16"/>
  <c r="G41" i="16"/>
  <c r="I50" i="16" l="1"/>
  <c r="H50" i="16"/>
  <c r="I52" i="25"/>
  <c r="J52" i="25"/>
  <c r="I51" i="25"/>
  <c r="J51" i="25"/>
  <c r="H51" i="16"/>
  <c r="I51" i="16"/>
  <c r="I31" i="25"/>
  <c r="J31" i="25"/>
  <c r="G29" i="16"/>
  <c r="G36" i="16" s="1"/>
  <c r="Z6" i="6"/>
  <c r="AA6" i="6" s="1"/>
  <c r="E39" i="16" s="1"/>
  <c r="H40" i="16"/>
  <c r="I40" i="16"/>
  <c r="H42" i="16"/>
  <c r="H43" i="16"/>
  <c r="I43" i="16"/>
  <c r="I42" i="16"/>
  <c r="H41" i="16"/>
  <c r="I41" i="16"/>
  <c r="I29" i="16" l="1"/>
  <c r="I36" i="16" s="1"/>
  <c r="H29" i="16"/>
  <c r="H36" i="16" s="1"/>
  <c r="F41" i="25"/>
  <c r="H41" i="25" s="1"/>
  <c r="H22" i="25"/>
  <c r="H21" i="25"/>
  <c r="L15" i="5"/>
  <c r="L14" i="5"/>
  <c r="J41" i="25" l="1"/>
  <c r="I41" i="25"/>
  <c r="I21" i="25"/>
  <c r="J21" i="25"/>
  <c r="I22" i="25"/>
  <c r="J22" i="25"/>
  <c r="F25" i="16"/>
  <c r="G27" i="25" s="1"/>
  <c r="B9" i="16"/>
  <c r="B10" i="16" s="1"/>
  <c r="B11" i="16" s="1"/>
  <c r="B12" i="16" s="1"/>
  <c r="B13" i="16" s="1"/>
  <c r="B14" i="16" s="1"/>
  <c r="B15" i="16" s="1"/>
  <c r="B16" i="16" s="1"/>
  <c r="B17" i="16" l="1"/>
  <c r="B18" i="16" s="1"/>
  <c r="B19" i="16" s="1"/>
  <c r="B20" i="16" s="1"/>
  <c r="B22" i="16" s="1"/>
  <c r="B23" i="16" s="1"/>
  <c r="B24" i="16" s="1"/>
  <c r="B25" i="16" s="1"/>
  <c r="B38" i="16" s="1"/>
  <c r="B39" i="16" s="1"/>
  <c r="B40" i="16" s="1"/>
  <c r="B41" i="16" s="1"/>
  <c r="B42" i="16" s="1"/>
  <c r="B43" i="16" s="1"/>
  <c r="B29" i="16"/>
  <c r="B30" i="16" s="1"/>
  <c r="B31" i="16" s="1"/>
  <c r="B32" i="16" s="1"/>
  <c r="B33" i="16" s="1"/>
  <c r="B34" i="16" s="1"/>
  <c r="B35" i="16" s="1"/>
  <c r="B44" i="16" l="1"/>
  <c r="B47" i="16" s="1"/>
  <c r="B48" i="16" s="1"/>
  <c r="B49" i="16" s="1"/>
  <c r="B50" i="16" s="1"/>
  <c r="B51" i="16" s="1"/>
  <c r="B52" i="16" s="1"/>
  <c r="B53" i="16" s="1"/>
  <c r="B56" i="16" s="1"/>
  <c r="B57" i="16" s="1"/>
  <c r="B58" i="16" s="1"/>
  <c r="B59" i="16" s="1"/>
  <c r="B60" i="16" s="1"/>
  <c r="B61" i="16" s="1"/>
  <c r="J16" i="15"/>
  <c r="G16" i="15"/>
  <c r="J15" i="15"/>
  <c r="I14" i="15"/>
  <c r="G14" i="15"/>
  <c r="F16" i="15" s="1"/>
  <c r="N15" i="15"/>
  <c r="E6" i="15" s="1"/>
  <c r="E7" i="15" s="1"/>
  <c r="E8" i="15" s="1"/>
  <c r="J12" i="15"/>
  <c r="G12" i="15"/>
  <c r="E10" i="15"/>
  <c r="E11" i="15" s="1"/>
  <c r="E12" i="15" s="1"/>
  <c r="J11" i="15"/>
  <c r="I10" i="15"/>
  <c r="G11" i="15"/>
  <c r="J8" i="15"/>
  <c r="G8" i="15"/>
  <c r="J7" i="15"/>
  <c r="I6" i="15"/>
  <c r="F8" i="15"/>
  <c r="B62" i="16" l="1"/>
  <c r="B65" i="16" s="1"/>
  <c r="B66" i="16" s="1"/>
  <c r="B67" i="16" s="1"/>
  <c r="B68" i="16" s="1"/>
  <c r="B69" i="16" s="1"/>
  <c r="B72" i="16" s="1"/>
  <c r="H8" i="15"/>
  <c r="I8" i="15" s="1"/>
  <c r="E14" i="15"/>
  <c r="E15" i="15" s="1"/>
  <c r="E16" i="15" s="1"/>
  <c r="H16" i="15" s="1"/>
  <c r="I16" i="15" s="1"/>
  <c r="H11" i="15"/>
  <c r="I11" i="15" s="1"/>
  <c r="F12" i="15"/>
  <c r="H12" i="15" s="1"/>
  <c r="I12" i="15" s="1"/>
  <c r="H6" i="15"/>
  <c r="J6" i="15" s="1"/>
  <c r="G7" i="15"/>
  <c r="H7" i="15" s="1"/>
  <c r="I7" i="15" s="1"/>
  <c r="H10" i="15"/>
  <c r="J10" i="15" s="1"/>
  <c r="G15" i="15"/>
  <c r="AK21" i="15" l="1"/>
  <c r="H15" i="15"/>
  <c r="I15" i="15" s="1"/>
  <c r="H14" i="15"/>
  <c r="J14" i="15" s="1"/>
  <c r="J91" i="15" s="1"/>
  <c r="J92" i="15" s="1"/>
  <c r="J94" i="15" s="1"/>
  <c r="R11" i="5" s="1"/>
  <c r="I91" i="15" l="1"/>
  <c r="I92" i="15" s="1"/>
  <c r="I94" i="15" s="1"/>
  <c r="K94" i="15" l="1"/>
  <c r="Q11" i="5"/>
  <c r="S14" i="5" l="1"/>
  <c r="B50" i="12" l="1"/>
  <c r="E6" i="12"/>
  <c r="E7" i="12" s="1"/>
  <c r="F5" i="12"/>
  <c r="F6" i="12" l="1"/>
  <c r="E8" i="12"/>
  <c r="F7" i="12"/>
  <c r="F8" i="12" l="1"/>
  <c r="E9" i="12"/>
  <c r="T7" i="6"/>
  <c r="V7" i="6" s="1"/>
  <c r="D190" i="9"/>
  <c r="E10" i="12" l="1"/>
  <c r="F9" i="12"/>
  <c r="E190" i="9"/>
  <c r="E192" i="9" s="1"/>
  <c r="H190" i="9"/>
  <c r="H192" i="9" s="1"/>
  <c r="D192" i="9"/>
  <c r="G190" i="9"/>
  <c r="F190" i="9"/>
  <c r="Y7" i="6" l="1"/>
  <c r="E11" i="12"/>
  <c r="F10" i="12"/>
  <c r="E13" i="5"/>
  <c r="L13" i="5" s="1"/>
  <c r="R13" i="5"/>
  <c r="F192" i="9"/>
  <c r="G192" i="9"/>
  <c r="S11" i="5"/>
  <c r="E47" i="16" l="1"/>
  <c r="F48" i="25" s="1"/>
  <c r="H48" i="25" s="1"/>
  <c r="F11" i="12"/>
  <c r="E12" i="12"/>
  <c r="Q13" i="5"/>
  <c r="S13" i="5" s="1"/>
  <c r="J48" i="25" l="1"/>
  <c r="G47" i="16"/>
  <c r="I47" i="16" s="1"/>
  <c r="I48" i="25"/>
  <c r="E13" i="12"/>
  <c r="F12" i="12"/>
  <c r="H47" i="16" l="1"/>
  <c r="F13" i="12"/>
  <c r="E14" i="12"/>
  <c r="E15" i="12" l="1"/>
  <c r="F14" i="12"/>
  <c r="I30" i="7"/>
  <c r="I29" i="7"/>
  <c r="B20" i="7"/>
  <c r="E16" i="12" l="1"/>
  <c r="F16" i="12" s="1"/>
  <c r="F15" i="12"/>
  <c r="I31" i="7"/>
  <c r="J7" i="6"/>
  <c r="B7" i="6"/>
  <c r="B8" i="6" s="1"/>
  <c r="B9" i="6" s="1"/>
  <c r="B10" i="6" s="1"/>
  <c r="T18" i="5"/>
  <c r="T17" i="5"/>
  <c r="K16" i="5"/>
  <c r="G16" i="5"/>
  <c r="H16" i="5"/>
  <c r="H14" i="5"/>
  <c r="H13" i="5"/>
  <c r="Q21" i="5"/>
  <c r="Q22" i="5" s="1"/>
  <c r="I34" i="7" l="1"/>
  <c r="T21" i="5"/>
  <c r="T22" i="5" s="1"/>
  <c r="L7" i="6"/>
  <c r="E22" i="16"/>
  <c r="R21" i="5"/>
  <c r="R22" i="5" s="1"/>
  <c r="G15" i="5"/>
  <c r="S21" i="5"/>
  <c r="S22" i="5" s="1"/>
  <c r="G13" i="5"/>
  <c r="G14" i="5"/>
  <c r="H15" i="5"/>
  <c r="Z7" i="6" l="1"/>
  <c r="AA7" i="6" s="1"/>
  <c r="E9" i="5"/>
  <c r="G22" i="16"/>
  <c r="H22" i="16" s="1"/>
  <c r="F24" i="25"/>
  <c r="H24" i="25" s="1"/>
  <c r="G39" i="16"/>
  <c r="E25" i="16"/>
  <c r="F27" i="25" s="1"/>
  <c r="H27" i="25" s="1"/>
  <c r="E23" i="16"/>
  <c r="K9" i="5" l="1"/>
  <c r="H9" i="5"/>
  <c r="E48" i="16"/>
  <c r="G9" i="5"/>
  <c r="I27" i="25"/>
  <c r="J27" i="25"/>
  <c r="G23" i="16"/>
  <c r="I23" i="16" s="1"/>
  <c r="F25" i="25"/>
  <c r="H25" i="25" s="1"/>
  <c r="J24" i="25"/>
  <c r="I24" i="25"/>
  <c r="G38" i="16"/>
  <c r="G45" i="16" s="1"/>
  <c r="I22" i="16"/>
  <c r="H39" i="16"/>
  <c r="I39" i="16"/>
  <c r="G25" i="16"/>
  <c r="H25" i="16" s="1"/>
  <c r="AF85" i="4"/>
  <c r="AC85" i="4"/>
  <c r="AG87" i="4"/>
  <c r="AF84" i="4"/>
  <c r="AD87" i="4"/>
  <c r="AC84" i="4"/>
  <c r="F49" i="25" l="1"/>
  <c r="H49" i="25" s="1"/>
  <c r="G48" i="16"/>
  <c r="AC87" i="4"/>
  <c r="I25" i="25"/>
  <c r="J25" i="25"/>
  <c r="I25" i="16"/>
  <c r="AF87" i="4"/>
  <c r="I38" i="16"/>
  <c r="I45" i="16" s="1"/>
  <c r="H38" i="16"/>
  <c r="H45" i="16" s="1"/>
  <c r="H23" i="16"/>
  <c r="P86" i="4"/>
  <c r="M86" i="4"/>
  <c r="Q85" i="4"/>
  <c r="N85" i="4"/>
  <c r="T84" i="4"/>
  <c r="T79" i="4"/>
  <c r="AH39" i="4"/>
  <c r="AB39" i="4"/>
  <c r="R39" i="4"/>
  <c r="O39" i="4"/>
  <c r="L39" i="4"/>
  <c r="L78" i="4" s="1"/>
  <c r="L85" i="4" s="1"/>
  <c r="H39" i="4"/>
  <c r="AE39" i="4" s="1"/>
  <c r="I49" i="25" l="1"/>
  <c r="J49" i="25"/>
  <c r="I48" i="16"/>
  <c r="I54" i="16" s="1"/>
  <c r="H48" i="16"/>
  <c r="H54" i="16" s="1"/>
  <c r="G54" i="16"/>
  <c r="O78" i="4"/>
  <c r="Z78" i="4"/>
  <c r="Z85" i="4" s="1"/>
  <c r="Z87" i="4" s="1"/>
  <c r="R78" i="4"/>
  <c r="S85" i="4"/>
  <c r="AH78" i="4"/>
  <c r="AN78" i="4"/>
  <c r="T39" i="4"/>
  <c r="K39" i="4"/>
  <c r="Q39" i="4"/>
  <c r="AB78" i="4"/>
  <c r="N39" i="4"/>
  <c r="N78" i="4" l="1"/>
  <c r="N84" i="4" s="1"/>
  <c r="N86" i="4" s="1"/>
  <c r="F10" i="6" s="1"/>
  <c r="F12" i="6" s="1"/>
  <c r="K78" i="4"/>
  <c r="K84" i="4" s="1"/>
  <c r="K86" i="4" s="1"/>
  <c r="E10" i="6" s="1"/>
  <c r="E12" i="6" s="1"/>
  <c r="T78" i="4"/>
  <c r="AN80" i="4"/>
  <c r="AK86" i="4" s="1"/>
  <c r="AK88" i="4" s="1"/>
  <c r="AE78" i="4"/>
  <c r="AE84" i="4" s="1"/>
  <c r="AE87" i="4" s="1"/>
  <c r="AB10" i="6" s="1"/>
  <c r="Y78" i="4"/>
  <c r="Y84" i="4" s="1"/>
  <c r="Y87" i="4" s="1"/>
  <c r="AA78" i="4"/>
  <c r="AA84" i="4" s="1"/>
  <c r="AA87" i="4" s="1"/>
  <c r="AH84" i="4"/>
  <c r="AH87" i="4" s="1"/>
  <c r="E20" i="8" s="1"/>
  <c r="O85" i="4"/>
  <c r="O86" i="4" s="1"/>
  <c r="P10" i="6" s="1"/>
  <c r="P12" i="6" s="1"/>
  <c r="AB85" i="4"/>
  <c r="AB87" i="4" s="1"/>
  <c r="L86" i="4"/>
  <c r="O10" i="6" s="1"/>
  <c r="R85" i="4"/>
  <c r="S39" i="4"/>
  <c r="T85" i="4" l="1"/>
  <c r="O12" i="6"/>
  <c r="AO39" i="4"/>
  <c r="S78" i="4"/>
  <c r="S92" i="4" s="1"/>
  <c r="E67" i="16"/>
  <c r="AB12" i="6"/>
  <c r="N31" i="16" s="1"/>
  <c r="P31" i="16" s="1"/>
  <c r="H10" i="6"/>
  <c r="AC10" i="6"/>
  <c r="AB88" i="4"/>
  <c r="M10" i="6" s="1"/>
  <c r="AK93" i="4"/>
  <c r="U10" i="6"/>
  <c r="U12" i="6" s="1"/>
  <c r="Q78" i="4"/>
  <c r="Q84" i="4" s="1"/>
  <c r="Q86" i="4" s="1"/>
  <c r="G10" i="6" s="1"/>
  <c r="G12" i="6" s="1"/>
  <c r="O20" i="8"/>
  <c r="J20" i="8"/>
  <c r="I10" i="6"/>
  <c r="I12" i="6" s="1"/>
  <c r="R86" i="4"/>
  <c r="Q10" i="6" s="1"/>
  <c r="T86" i="4"/>
  <c r="H12" i="6" l="1"/>
  <c r="L30" i="6" s="1"/>
  <c r="H25" i="6"/>
  <c r="H26" i="6" s="1"/>
  <c r="M25" i="6"/>
  <c r="M26" i="6" s="1"/>
  <c r="S93" i="4"/>
  <c r="T10" i="6"/>
  <c r="V10" i="6" s="1"/>
  <c r="Q12" i="6"/>
  <c r="E68" i="16"/>
  <c r="M12" i="6"/>
  <c r="N32" i="16" s="1"/>
  <c r="P32" i="16" s="1"/>
  <c r="E69" i="16"/>
  <c r="AC12" i="6"/>
  <c r="N33" i="16" s="1"/>
  <c r="P33" i="16" s="1"/>
  <c r="G67" i="16"/>
  <c r="F66" i="25"/>
  <c r="H66" i="25" s="1"/>
  <c r="M31" i="16"/>
  <c r="E7" i="5"/>
  <c r="N7" i="5" s="1"/>
  <c r="E18" i="16" s="1"/>
  <c r="J10" i="6"/>
  <c r="Y10" i="6"/>
  <c r="AO78" i="4"/>
  <c r="AO79" i="4" s="1"/>
  <c r="AJ85" i="4" s="1"/>
  <c r="AJ88" i="4" s="1"/>
  <c r="S84" i="4"/>
  <c r="S86" i="4" s="1"/>
  <c r="L25" i="6" s="1"/>
  <c r="L26" i="6" s="1"/>
  <c r="F67" i="25" l="1"/>
  <c r="H67" i="25" s="1"/>
  <c r="G68" i="16"/>
  <c r="M32" i="16"/>
  <c r="I66" i="25"/>
  <c r="J66" i="25"/>
  <c r="F68" i="25"/>
  <c r="H68" i="25" s="1"/>
  <c r="G69" i="16"/>
  <c r="M33" i="16"/>
  <c r="H67" i="16"/>
  <c r="I67" i="16"/>
  <c r="E65" i="16"/>
  <c r="P7" i="5"/>
  <c r="I7" i="5"/>
  <c r="F7" i="5"/>
  <c r="K10" i="6"/>
  <c r="K12" i="6" s="1"/>
  <c r="AJ93" i="4"/>
  <c r="AO95" i="4"/>
  <c r="G18" i="16"/>
  <c r="F18" i="25"/>
  <c r="H18" i="25" s="1"/>
  <c r="I68" i="25" l="1"/>
  <c r="J68" i="25"/>
  <c r="I68" i="16"/>
  <c r="H68" i="16"/>
  <c r="I69" i="16"/>
  <c r="H69" i="16"/>
  <c r="I67" i="25"/>
  <c r="J67" i="25"/>
  <c r="F64" i="25"/>
  <c r="H64" i="25" s="1"/>
  <c r="G65" i="16"/>
  <c r="H18" i="16"/>
  <c r="I18" i="16"/>
  <c r="J18" i="25"/>
  <c r="I18" i="25"/>
  <c r="L10" i="6"/>
  <c r="I65" i="16" l="1"/>
  <c r="H65" i="16"/>
  <c r="I64" i="25"/>
  <c r="J64" i="25"/>
  <c r="Z10" i="6"/>
  <c r="AA10" i="6" s="1"/>
  <c r="F6" i="5"/>
  <c r="M6" i="5"/>
  <c r="E17" i="16" s="1"/>
  <c r="L17" i="16" s="1"/>
  <c r="I6" i="5"/>
  <c r="E66" i="16" l="1"/>
  <c r="G17" i="16"/>
  <c r="F17" i="25"/>
  <c r="H17" i="25" s="1"/>
  <c r="G66" i="16" l="1"/>
  <c r="G70" i="16" s="1"/>
  <c r="F65" i="25"/>
  <c r="H65" i="25" s="1"/>
  <c r="I17" i="25"/>
  <c r="J17" i="25"/>
  <c r="H17" i="16"/>
  <c r="I17" i="16"/>
  <c r="I65" i="25" l="1"/>
  <c r="J65" i="25"/>
  <c r="I66" i="16"/>
  <c r="I70" i="16" s="1"/>
  <c r="H66" i="16"/>
  <c r="H70" i="16" s="1"/>
  <c r="J8" i="6"/>
  <c r="T8" i="6"/>
  <c r="V8" i="6" s="1"/>
  <c r="L8" i="6" l="1"/>
  <c r="Z8" i="6" l="1"/>
  <c r="AA8" i="6" s="1"/>
  <c r="Y8" i="6"/>
  <c r="E10" i="5"/>
  <c r="J9" i="6"/>
  <c r="J12" i="6" s="1"/>
  <c r="T9" i="6"/>
  <c r="T12" i="6" l="1"/>
  <c r="V9" i="6"/>
  <c r="K10" i="5"/>
  <c r="K21" i="5" s="1"/>
  <c r="K22" i="5" s="1"/>
  <c r="G10" i="5"/>
  <c r="H10" i="5"/>
  <c r="L9" i="6"/>
  <c r="O23" i="8"/>
  <c r="E11" i="5" s="1"/>
  <c r="H11" i="5" l="1"/>
  <c r="L11" i="5"/>
  <c r="L21" i="5" s="1"/>
  <c r="L22" i="5" s="1"/>
  <c r="G11" i="5"/>
  <c r="Z9" i="6"/>
  <c r="AA9" i="6" s="1"/>
  <c r="L12" i="6"/>
  <c r="Y9" i="6"/>
  <c r="V12" i="6"/>
  <c r="M28" i="6" s="1"/>
  <c r="M29" i="6" s="1"/>
  <c r="E12" i="16"/>
  <c r="F12" i="25" s="1"/>
  <c r="H12" i="25" s="1"/>
  <c r="J23" i="8"/>
  <c r="K16" i="6" l="1"/>
  <c r="L18" i="6"/>
  <c r="L28" i="6"/>
  <c r="L29" i="6" s="1"/>
  <c r="E56" i="16"/>
  <c r="Y12" i="6"/>
  <c r="N29" i="16" s="1"/>
  <c r="P29" i="16" s="1"/>
  <c r="H12" i="5"/>
  <c r="H21" i="5" s="1"/>
  <c r="H22" i="5" s="1"/>
  <c r="J12" i="5"/>
  <c r="J21" i="5" s="1"/>
  <c r="J22" i="5" s="1"/>
  <c r="AA12" i="6"/>
  <c r="N30" i="16" s="1"/>
  <c r="P30" i="16" s="1"/>
  <c r="E57" i="16"/>
  <c r="I12" i="25"/>
  <c r="J12" i="25"/>
  <c r="G12" i="16"/>
  <c r="I12" i="16" s="1"/>
  <c r="E14" i="16"/>
  <c r="F14" i="25" s="1"/>
  <c r="H14" i="25" s="1"/>
  <c r="G12" i="5"/>
  <c r="G21" i="5" s="1"/>
  <c r="G22" i="5" s="1"/>
  <c r="P36" i="16" l="1"/>
  <c r="G57" i="16"/>
  <c r="F57" i="25"/>
  <c r="H57" i="25" s="1"/>
  <c r="M30" i="16"/>
  <c r="F56" i="25"/>
  <c r="H56" i="25" s="1"/>
  <c r="G56" i="16"/>
  <c r="M29" i="16"/>
  <c r="Y13" i="6" s="1"/>
  <c r="J14" i="25"/>
  <c r="I14" i="25"/>
  <c r="H12" i="16"/>
  <c r="G14" i="16"/>
  <c r="H14" i="16" s="1"/>
  <c r="E13" i="16"/>
  <c r="F13" i="25" s="1"/>
  <c r="H13" i="25" s="1"/>
  <c r="E10" i="16"/>
  <c r="F10" i="25" s="1"/>
  <c r="H10" i="25" s="1"/>
  <c r="E9" i="16"/>
  <c r="F9" i="25" s="1"/>
  <c r="H9" i="25" s="1"/>
  <c r="G63" i="16" l="1"/>
  <c r="G74" i="16" s="1"/>
  <c r="I56" i="16"/>
  <c r="H56" i="16"/>
  <c r="I57" i="25"/>
  <c r="J57" i="25"/>
  <c r="I56" i="25"/>
  <c r="J56" i="25"/>
  <c r="H70" i="25"/>
  <c r="I57" i="16"/>
  <c r="H57" i="16"/>
  <c r="I10" i="25"/>
  <c r="J10" i="25"/>
  <c r="J9" i="25"/>
  <c r="I9" i="25"/>
  <c r="J13" i="25"/>
  <c r="I13" i="25"/>
  <c r="I14" i="16"/>
  <c r="G9" i="16"/>
  <c r="H9" i="16" s="1"/>
  <c r="G10" i="16"/>
  <c r="H10" i="16" s="1"/>
  <c r="G13" i="16"/>
  <c r="H13" i="16" s="1"/>
  <c r="E5" i="5"/>
  <c r="I70" i="25" l="1"/>
  <c r="H63" i="16"/>
  <c r="H74" i="16" s="1"/>
  <c r="P37" i="16"/>
  <c r="P39" i="16" s="1"/>
  <c r="I63" i="16"/>
  <c r="I74" i="16" s="1"/>
  <c r="J70" i="25"/>
  <c r="I10" i="16"/>
  <c r="I9" i="16"/>
  <c r="I13" i="16"/>
  <c r="N5" i="5"/>
  <c r="I5" i="5"/>
  <c r="F5" i="5"/>
  <c r="O21" i="5" s="1"/>
  <c r="O22" i="5" s="1"/>
  <c r="P5" i="5"/>
  <c r="P21" i="5" s="1"/>
  <c r="P22" i="5" s="1"/>
  <c r="N21" i="5" l="1"/>
  <c r="N22" i="5" s="1"/>
  <c r="E16" i="16"/>
  <c r="F16" i="25" s="1"/>
  <c r="H16" i="25" s="1"/>
  <c r="E19" i="16"/>
  <c r="F19" i="25" s="1"/>
  <c r="H19" i="25" s="1"/>
  <c r="E24" i="16"/>
  <c r="F26" i="25" s="1"/>
  <c r="H26" i="25" s="1"/>
  <c r="M4" i="5"/>
  <c r="I4" i="5"/>
  <c r="I21" i="5" s="1"/>
  <c r="I22" i="5" s="1"/>
  <c r="F4" i="5"/>
  <c r="F21" i="5" s="1"/>
  <c r="F22" i="5" s="1"/>
  <c r="G19" i="16" l="1"/>
  <c r="H19" i="16" s="1"/>
  <c r="I19" i="25"/>
  <c r="J19" i="25"/>
  <c r="J26" i="25"/>
  <c r="I26" i="25"/>
  <c r="M21" i="5"/>
  <c r="M22" i="5" s="1"/>
  <c r="E15" i="16"/>
  <c r="I16" i="25"/>
  <c r="J16" i="25"/>
  <c r="G24" i="16"/>
  <c r="H24" i="16" s="1"/>
  <c r="G16" i="16"/>
  <c r="I16" i="16" s="1"/>
  <c r="E11" i="16"/>
  <c r="E8" i="16"/>
  <c r="F15" i="25" l="1"/>
  <c r="H15" i="25" s="1"/>
  <c r="I15" i="25" s="1"/>
  <c r="L15" i="16"/>
  <c r="F11" i="25"/>
  <c r="H11" i="25" s="1"/>
  <c r="J11" i="25" s="1"/>
  <c r="L11" i="16"/>
  <c r="F8" i="25"/>
  <c r="H8" i="25" s="1"/>
  <c r="J8" i="25" s="1"/>
  <c r="L8" i="16"/>
  <c r="I19" i="16"/>
  <c r="J15" i="25"/>
  <c r="H16" i="16"/>
  <c r="I24" i="16"/>
  <c r="G8" i="16"/>
  <c r="I8" i="16" s="1"/>
  <c r="G15" i="16"/>
  <c r="I15" i="16" s="1"/>
  <c r="G11" i="16"/>
  <c r="I11" i="16" s="1"/>
  <c r="I8" i="25" l="1"/>
  <c r="I11" i="25"/>
  <c r="H8" i="16"/>
  <c r="H15" i="16"/>
  <c r="H11" i="16"/>
  <c r="F45" i="12" l="1"/>
  <c r="E49" i="12" s="1"/>
  <c r="E51" i="12" s="1"/>
  <c r="E52" i="12" s="1"/>
  <c r="D49" i="12" l="1"/>
  <c r="D51" i="12" s="1"/>
  <c r="D52" i="12" s="1"/>
  <c r="F52" i="12" s="1"/>
  <c r="E19" i="5" l="1"/>
  <c r="G20" i="16" l="1"/>
  <c r="G26" i="16" s="1"/>
  <c r="G76" i="16" s="1"/>
  <c r="G81" i="16" s="1"/>
  <c r="F20" i="25"/>
  <c r="H20" i="25" s="1"/>
  <c r="H20" i="16" l="1"/>
  <c r="H26" i="16" s="1"/>
  <c r="H76" i="16" s="1"/>
  <c r="I20" i="16"/>
  <c r="I26" i="16" s="1"/>
  <c r="I76" i="16" s="1"/>
  <c r="I20" i="25"/>
  <c r="I28" i="25" s="1"/>
  <c r="I72" i="25" s="1"/>
  <c r="J20" i="25"/>
  <c r="J28" i="25" s="1"/>
  <c r="J72" i="25" s="1"/>
  <c r="H28" i="25"/>
  <c r="H72" i="25" s="1"/>
  <c r="AB72" i="25"/>
  <c r="AB75" i="25" s="1"/>
</calcChain>
</file>

<file path=xl/sharedStrings.xml><?xml version="1.0" encoding="utf-8"?>
<sst xmlns="http://schemas.openxmlformats.org/spreadsheetml/2006/main" count="2591" uniqueCount="578">
  <si>
    <t>Sn</t>
  </si>
  <si>
    <t>Description</t>
  </si>
  <si>
    <t>Wall Type</t>
  </si>
  <si>
    <t>Nos</t>
  </si>
  <si>
    <t>Length</t>
  </si>
  <si>
    <t>Breadth</t>
  </si>
  <si>
    <t>Beam depth</t>
  </si>
  <si>
    <t>Sill Level Qty</t>
  </si>
  <si>
    <t>Sill to Lintel LVL Qty</t>
  </si>
  <si>
    <t>Lintel to Roof LVL Qty</t>
  </si>
  <si>
    <t>Total Qty</t>
  </si>
  <si>
    <t>Remarks</t>
  </si>
  <si>
    <t>Lintel Concrete</t>
  </si>
  <si>
    <t>Shuttering</t>
  </si>
  <si>
    <t>Sill Concrete</t>
  </si>
  <si>
    <t>Concrete Packing</t>
  </si>
  <si>
    <t>Depth</t>
  </si>
  <si>
    <t>BW 8"</t>
  </si>
  <si>
    <t>BW 4"</t>
  </si>
  <si>
    <t>Qty 8"</t>
  </si>
  <si>
    <t>Qty 4"</t>
  </si>
  <si>
    <t>Bottom</t>
  </si>
  <si>
    <t>Sides</t>
  </si>
  <si>
    <t>Qty</t>
  </si>
  <si>
    <t>QTY</t>
  </si>
  <si>
    <t>Sill Level</t>
  </si>
  <si>
    <t>Sill to Lintel</t>
  </si>
  <si>
    <t>Lintel to Roof</t>
  </si>
  <si>
    <t>Flats</t>
  </si>
  <si>
    <t>8"</t>
  </si>
  <si>
    <t>4"</t>
  </si>
  <si>
    <t>East</t>
  </si>
  <si>
    <t>South</t>
  </si>
  <si>
    <t>North</t>
  </si>
  <si>
    <t>Deduction  - D2</t>
  </si>
  <si>
    <t>Deduction  - D1</t>
  </si>
  <si>
    <t>2nd Floor</t>
  </si>
  <si>
    <t>Parapet Wall</t>
  </si>
  <si>
    <t>West</t>
  </si>
  <si>
    <t>SN</t>
  </si>
  <si>
    <t>Pillars</t>
  </si>
  <si>
    <t xml:space="preserve">East  </t>
  </si>
  <si>
    <t>Ded - TD</t>
  </si>
  <si>
    <t>Duct</t>
  </si>
  <si>
    <t>OTS parapet</t>
  </si>
  <si>
    <t xml:space="preserve">Sill to Lintel </t>
  </si>
  <si>
    <t>S.No</t>
  </si>
  <si>
    <t>Terrace</t>
  </si>
  <si>
    <t>Deduct V2</t>
  </si>
  <si>
    <t>Materials Abstract</t>
  </si>
  <si>
    <t>Unit</t>
  </si>
  <si>
    <t>Cement 43 Grade</t>
  </si>
  <si>
    <t>Cement 53 Grade</t>
  </si>
  <si>
    <t>M Sand</t>
  </si>
  <si>
    <t>12mm Metal</t>
  </si>
  <si>
    <t>6mm Metal</t>
  </si>
  <si>
    <t>20mm Metal</t>
  </si>
  <si>
    <t>AAC Block 8''</t>
  </si>
  <si>
    <t>AAC Block 4''</t>
  </si>
  <si>
    <t>Steel 
punch in Kg</t>
  </si>
  <si>
    <t>8mm</t>
  </si>
  <si>
    <t>10mm</t>
  </si>
  <si>
    <t>Binding Wire</t>
  </si>
  <si>
    <t>PVC Pipe</t>
  </si>
  <si>
    <t>AAC Block work 8"</t>
  </si>
  <si>
    <t>Cft</t>
  </si>
  <si>
    <t>AAC Block work 4"</t>
  </si>
  <si>
    <t>sft</t>
  </si>
  <si>
    <t>Chips Packing Door Frame clamp</t>
  </si>
  <si>
    <t>Chips packing Beam / slab Bottom</t>
  </si>
  <si>
    <t>Lintel concrete</t>
  </si>
  <si>
    <t>Loft concrete</t>
  </si>
  <si>
    <t>Sunshade concrete</t>
  </si>
  <si>
    <t>Balcony edge concrete</t>
  </si>
  <si>
    <t>Balcony Drops concrete</t>
  </si>
  <si>
    <t>PVC Pipe 2" for A/C Inlet</t>
  </si>
  <si>
    <t>Rft</t>
  </si>
  <si>
    <t>PVC Pipe 9" for Kitchen exhaust</t>
  </si>
  <si>
    <t>Lockset HY 200 chemical 500ml tins</t>
  </si>
  <si>
    <t>Pandal Ring</t>
  </si>
  <si>
    <t>Round off</t>
  </si>
  <si>
    <t>8"  Block Work in Cft</t>
  </si>
  <si>
    <t>4"  Block Work in Sft</t>
  </si>
  <si>
    <t>Upto Sill</t>
  </si>
  <si>
    <t>Lintel Concrete in Cft</t>
  </si>
  <si>
    <t>Sill Concrete in Cft</t>
  </si>
  <si>
    <t>Actual Lintel to Roof Qty</t>
  </si>
  <si>
    <t>Lintel Concrete in Sft</t>
  </si>
  <si>
    <t>Sill Concrete in Sft</t>
  </si>
  <si>
    <t>Stilt Floor</t>
  </si>
  <si>
    <t>1st Floor</t>
  </si>
  <si>
    <t>3rd Floor</t>
  </si>
  <si>
    <t>Terrace Floor</t>
  </si>
  <si>
    <t>D1</t>
  </si>
  <si>
    <t>D2</t>
  </si>
  <si>
    <t>Total Qty in Cft</t>
  </si>
  <si>
    <t>Common - TD</t>
  </si>
  <si>
    <t>LMD</t>
  </si>
  <si>
    <t>Total Quantity - Cft</t>
  </si>
  <si>
    <t>Basement Floor</t>
  </si>
  <si>
    <t xml:space="preserve">2nd Floor </t>
  </si>
  <si>
    <t>4th floor</t>
  </si>
  <si>
    <t>5th floor</t>
  </si>
  <si>
    <t>Sft</t>
  </si>
  <si>
    <t xml:space="preserve">3rd Floor </t>
  </si>
  <si>
    <t>6th floor</t>
  </si>
  <si>
    <t>Sill Slab concrete</t>
  </si>
  <si>
    <t>Block 1 - Loft Concrete &amp; Steel Measurements</t>
  </si>
  <si>
    <t>Loft Concrete</t>
  </si>
  <si>
    <t>Actual Length</t>
  </si>
  <si>
    <t>Hacking</t>
  </si>
  <si>
    <t>Steel</t>
  </si>
  <si>
    <t>Spacing</t>
  </si>
  <si>
    <t>Rod Dia</t>
  </si>
  <si>
    <t>Rod Nos</t>
  </si>
  <si>
    <t>Length in mts</t>
  </si>
  <si>
    <t>Kgs</t>
  </si>
  <si>
    <t>Concrete Qty in Cft</t>
  </si>
  <si>
    <t>Shuttering Qty in SFt</t>
  </si>
  <si>
    <t>Hacking Qty in Sft</t>
  </si>
  <si>
    <t>Steel in Kgs</t>
  </si>
  <si>
    <t>Loft Abstract</t>
  </si>
  <si>
    <t>W4</t>
  </si>
  <si>
    <t>Floor</t>
  </si>
  <si>
    <t>Lock Set for Lintel</t>
  </si>
  <si>
    <t>Total No of Lockset</t>
  </si>
  <si>
    <t>8 mm</t>
  </si>
  <si>
    <t>10 mm</t>
  </si>
  <si>
    <t>Terrace floor</t>
  </si>
  <si>
    <t>Lit</t>
  </si>
  <si>
    <t>Deduction  - LD</t>
  </si>
  <si>
    <t>6Litre/1000Nos</t>
  </si>
  <si>
    <t>SNE &amp; W</t>
  </si>
  <si>
    <t>Lintel Steel</t>
  </si>
  <si>
    <t>Dia of Rod</t>
  </si>
  <si>
    <t>Cutting Length</t>
  </si>
  <si>
    <t>Total Cutting Length</t>
  </si>
  <si>
    <t>SV2/Ex</t>
  </si>
  <si>
    <t>V1/Ex</t>
  </si>
  <si>
    <t>V2</t>
  </si>
  <si>
    <t>TD</t>
  </si>
  <si>
    <t>Basement</t>
  </si>
  <si>
    <t>Basement to Terrace.</t>
  </si>
  <si>
    <t>Stilt floor</t>
  </si>
  <si>
    <t>Top</t>
  </si>
  <si>
    <t>Stirrups @ 6" C/c</t>
  </si>
  <si>
    <t>1st loor</t>
  </si>
  <si>
    <t>D1 - Bottom</t>
  </si>
  <si>
    <t>D2 - Bottom</t>
  </si>
  <si>
    <t>W4 - Bottom</t>
  </si>
  <si>
    <t>SV2/EX - Bottom</t>
  </si>
  <si>
    <t>V2 - Bottom</t>
  </si>
  <si>
    <t>TD - Bottom</t>
  </si>
  <si>
    <t>LMD - Bottom</t>
  </si>
  <si>
    <t>Total length in Rft</t>
  </si>
  <si>
    <t>Length in Rmt</t>
  </si>
  <si>
    <t>Unit Weight Per RM</t>
  </si>
  <si>
    <t>Total Qty in Kg</t>
  </si>
  <si>
    <t>JAIN HOUSING AND CONSTRUCTIONS LTD</t>
  </si>
  <si>
    <t>Budget Name : Blockwork Budget</t>
  </si>
  <si>
    <t>Budget # : 03</t>
  </si>
  <si>
    <t>Plinth Area in sft</t>
  </si>
  <si>
    <t>Saleable Area in sft</t>
  </si>
  <si>
    <t>Rev : 00</t>
  </si>
  <si>
    <t>Rate</t>
  </si>
  <si>
    <t>Amount</t>
  </si>
  <si>
    <t>Amount / Sft SA</t>
  </si>
  <si>
    <t>Amount / Sft PA</t>
  </si>
  <si>
    <t>A)</t>
  </si>
  <si>
    <t>Masonry Materials</t>
  </si>
  <si>
    <t>Bags</t>
  </si>
  <si>
    <t>Total</t>
  </si>
  <si>
    <t xml:space="preserve">Cement 53 Grade </t>
  </si>
  <si>
    <t>M Sand - Double wash</t>
  </si>
  <si>
    <t>6mm Chips</t>
  </si>
  <si>
    <t>Door Frame</t>
  </si>
  <si>
    <t>AAC Block 8"</t>
  </si>
  <si>
    <t>AAC Block 4"</t>
  </si>
  <si>
    <t>Rebar Lock Fix Chemical Hilti HY 200                (500 ml Tin)</t>
  </si>
  <si>
    <t>Ltrs</t>
  </si>
  <si>
    <t xml:space="preserve">Lintel </t>
  </si>
  <si>
    <t>PVC Pipe 2" dia</t>
  </si>
  <si>
    <t>A/C outlet pipe</t>
  </si>
  <si>
    <t>PVC Pipe 9" dia</t>
  </si>
  <si>
    <t>Kitchen Exhaust Fan</t>
  </si>
  <si>
    <t>Reinforcement Steel</t>
  </si>
  <si>
    <t>Steel Punch</t>
  </si>
  <si>
    <t xml:space="preserve">Binding Wire </t>
  </si>
  <si>
    <t xml:space="preserve">Total Material Amount </t>
  </si>
  <si>
    <t>B)</t>
  </si>
  <si>
    <t>Labour</t>
  </si>
  <si>
    <t>FOR STILT FLOOR WORK</t>
  </si>
  <si>
    <t>Block work with 8" &amp; 4" AAC block including door frame fixing, lintel, loft sunshade concreting works with QC report and outer duct block work (Work as per Check list)</t>
  </si>
  <si>
    <t xml:space="preserve">Total Labour Amount </t>
  </si>
  <si>
    <t>Total Amount to be Approved now</t>
  </si>
  <si>
    <t>R0</t>
  </si>
  <si>
    <r>
      <rPr>
        <b/>
        <sz val="11"/>
        <rFont val="Calibri"/>
        <family val="2"/>
        <scheme val="minor"/>
      </rPr>
      <t xml:space="preserve">Project  : </t>
    </r>
    <r>
      <rPr>
        <sz val="11"/>
        <rFont val="Calibri"/>
        <family val="2"/>
        <scheme val="minor"/>
      </rPr>
      <t>Anayna</t>
    </r>
  </si>
  <si>
    <r>
      <rPr>
        <b/>
        <sz val="11"/>
        <rFont val="Calibri"/>
        <family val="2"/>
        <scheme val="minor"/>
      </rPr>
      <t>Classification :</t>
    </r>
    <r>
      <rPr>
        <sz val="11"/>
        <rFont val="Calibri"/>
        <family val="2"/>
        <scheme val="minor"/>
      </rPr>
      <t xml:space="preserve"> Block </t>
    </r>
  </si>
  <si>
    <t>M Sand Double Wash</t>
  </si>
  <si>
    <t>For all concrete</t>
  </si>
  <si>
    <t xml:space="preserve">Sill Slab </t>
  </si>
  <si>
    <t xml:space="preserve">Lintel Concrete </t>
  </si>
  <si>
    <t>Total area</t>
  </si>
  <si>
    <t>Balcony area</t>
  </si>
  <si>
    <t>OTS</t>
  </si>
  <si>
    <t>Ducts</t>
  </si>
  <si>
    <t>Low Terrace</t>
  </si>
  <si>
    <t>Actual plinth area for contract</t>
  </si>
  <si>
    <t>Actual plinth area for contract - Roundup</t>
  </si>
  <si>
    <t>ANNEXURE - II</t>
  </si>
  <si>
    <t>Description of Works</t>
  </si>
  <si>
    <t xml:space="preserve"> Break up rate in R.S.</t>
  </si>
  <si>
    <t>Stage Breakup</t>
  </si>
  <si>
    <t>Blockwork Masonry with AAC Blocks up to Stilt floor level including curing as per QC Check list</t>
  </si>
  <si>
    <t>Roof slab concrete Laying including deshuttering curing as per QC check list</t>
  </si>
  <si>
    <t>Ceiling Joints grinding works and handover for painting with QC report Work with QC report. (Work as per Check list)</t>
  </si>
  <si>
    <t>Inner wall Plastering incl button mark and chicken mesh &amp; Sunken area filling with QC report Work with QC report. (Work as per Check list)</t>
  </si>
  <si>
    <t>Outer Wall &amp; OTS Wall External Plastering work including all elevation feauture works with necessary scaffolding With QC report (Work as per Check list)</t>
  </si>
  <si>
    <t>Terrace Parapet wall blockwork, plastering, pandal ring fixing, Pergola works including curing as per check list.</t>
  </si>
  <si>
    <t>Terrace Brick Bat Laying works</t>
  </si>
  <si>
    <t>Before Terrace Waterproofing QC as per check list</t>
  </si>
  <si>
    <t>Flat Before Tiling QC (Work as per Check list)</t>
  </si>
  <si>
    <t>Flat QA (Work as per Check list)</t>
  </si>
  <si>
    <t>External &amp; OTS Wall Before External painting QC clearance (Work as per Check list)</t>
  </si>
  <si>
    <t>Lobby Before granite QC (Work as per Check list)</t>
  </si>
  <si>
    <t>Block Common QA Preliminary / Prefinal (Work as per Check list)</t>
  </si>
  <si>
    <t>FOR ABOVE TERRACE FLOOR</t>
  </si>
  <si>
    <t>Terrace level HR, Parapet, Plumbing bed, kerb walls Blockwork and plastering works with QC report</t>
  </si>
  <si>
    <t>Roof slab concrete Ceiling Joints grinding works prior to painting including curing complete as per check list</t>
  </si>
  <si>
    <t>HR, LMR, OHT top slab protective waterproof plastering</t>
  </si>
  <si>
    <t>Before Terrace water proofing QC (Work as per Check list)</t>
  </si>
  <si>
    <t>Terrace QC (Work as per Check list)</t>
  </si>
  <si>
    <t>Block common QA (Work as per Check list)</t>
  </si>
  <si>
    <t>GRAND TOTAL</t>
  </si>
  <si>
    <t>2nd to 10th Floor</t>
  </si>
  <si>
    <t>Inhouse</t>
  </si>
  <si>
    <t>1st floor CP</t>
  </si>
  <si>
    <t>AAC 4"</t>
  </si>
  <si>
    <t>AAC 8"</t>
  </si>
  <si>
    <t>Lintel Concreting</t>
  </si>
  <si>
    <t>Lintel Shuttering &amp; Reinforcement</t>
  </si>
  <si>
    <t>Door Frame Fixing &amp; concrete packing</t>
  </si>
  <si>
    <t>Bricks 3"</t>
  </si>
  <si>
    <t>Stilt FLOOR ABSTRACT :-</t>
  </si>
  <si>
    <t>NA - Staircase&amp; lift alone considered</t>
  </si>
  <si>
    <r>
      <rPr>
        <b/>
        <sz val="11"/>
        <rFont val="Calibri"/>
        <family val="2"/>
        <scheme val="minor"/>
      </rPr>
      <t xml:space="preserve">NA </t>
    </r>
    <r>
      <rPr>
        <sz val="11"/>
        <rFont val="Calibri"/>
        <family val="2"/>
        <scheme val="minor"/>
      </rPr>
      <t>- Stair Lift &amp; Outer wall only considered</t>
    </r>
  </si>
  <si>
    <t>Deduct V1</t>
  </si>
  <si>
    <t>1st FLOOR ABSTRACT :-</t>
  </si>
  <si>
    <t>QTY Overall For Stilt</t>
  </si>
  <si>
    <t xml:space="preserve">OTS -1 </t>
  </si>
  <si>
    <t>Duct -2</t>
  </si>
  <si>
    <t>Duct -3</t>
  </si>
  <si>
    <t xml:space="preserve">Duct -3 </t>
  </si>
  <si>
    <t>Duct -4</t>
  </si>
  <si>
    <t>Duct -5</t>
  </si>
  <si>
    <t>Duct -6</t>
  </si>
  <si>
    <t>Duct -7</t>
  </si>
  <si>
    <t>Duct -9</t>
  </si>
  <si>
    <t>Lift Well</t>
  </si>
  <si>
    <t>LD</t>
  </si>
  <si>
    <t>FXW4</t>
  </si>
  <si>
    <t>KW4a/Ex</t>
  </si>
  <si>
    <t>KW5/Ex</t>
  </si>
  <si>
    <t>KW3/Ex</t>
  </si>
  <si>
    <t>v2</t>
  </si>
  <si>
    <t>GD</t>
  </si>
  <si>
    <t>Total  - 5 floor</t>
  </si>
  <si>
    <t>KW5/EX - Bottom</t>
  </si>
  <si>
    <t>KW3/EX - Bottom</t>
  </si>
  <si>
    <t>V1/ex - Bottom</t>
  </si>
  <si>
    <t>FXW4 - Bottom</t>
  </si>
  <si>
    <t xml:space="preserve">First Floor </t>
  </si>
  <si>
    <t>1ST Floor</t>
  </si>
  <si>
    <t>Typical Floor - 4Nos of floors (2,3,4,5)</t>
  </si>
  <si>
    <t>Project : AADHESWAR</t>
  </si>
  <si>
    <t>Rate 
in R.S.</t>
  </si>
  <si>
    <t>Plinth 
area</t>
  </si>
  <si>
    <t>Foundation &amp; Stilt Floor</t>
  </si>
  <si>
    <t>Consolidation dressing including vibrator works</t>
  </si>
  <si>
    <t>Cum</t>
  </si>
  <si>
    <t>PCC concrete works in Pile cap &amp; Lift wall for supply in RMC including dressing curing works</t>
  </si>
  <si>
    <t>Shuttering works for PCC in Pile cap &amp; Lift including side support etc</t>
  </si>
  <si>
    <t>RCC concrete in Pile cap &amp; Lift wall works for supply in RMC including dressing works.</t>
  </si>
  <si>
    <t>Shuttering works for Pile cap including side support etc</t>
  </si>
  <si>
    <t>Barbending works for Pile cap including side support etc</t>
  </si>
  <si>
    <t>Kg</t>
  </si>
  <si>
    <t>Dressing woks in Tie beam PCC purpose</t>
  </si>
  <si>
    <t>PCC concrete works in Tie beam for supply in RMC including dressing curing works</t>
  </si>
  <si>
    <t>Shuttering works for PCC in Tie beam including side support etc</t>
  </si>
  <si>
    <t>Tie beam RCC concrete works for supply in RMC including dressing works.</t>
  </si>
  <si>
    <t>Shuttering works for Tie beam including side support etc</t>
  </si>
  <si>
    <t>Shear wall RCC concrete works for supply in RMC including dressing works.</t>
  </si>
  <si>
    <t>Shuttering works for Shear wall including side support etc</t>
  </si>
  <si>
    <t>Column starter marking Placing &amp; concrete works</t>
  </si>
  <si>
    <t>Shuttering works for RCC Column for upto stilt floor level including side support etc</t>
  </si>
  <si>
    <t>Column RCC concrete works for supply in RMC including staging &amp; scaffolding works</t>
  </si>
  <si>
    <t>Water Proofing for Lift Pit inner wall &amp; Floor with week point pressure testing, two coat chemical coating &amp; protective plastering</t>
  </si>
  <si>
    <t>Lift shaft inside PCC concrete works for supply in RMC including curing works</t>
  </si>
  <si>
    <t>Lift Outer Wall Plastering</t>
  </si>
  <si>
    <t>PB beam RCC concrete works for supply in RMC including dressing works.</t>
  </si>
  <si>
    <t>Shuttering works for RCC in PB including side support etc</t>
  </si>
  <si>
    <t>Solid Blocks from Tie beam to Stilt floor Lvl Beam</t>
  </si>
  <si>
    <t>Wall outer plastering works</t>
  </si>
  <si>
    <t>Pest control spraying works</t>
  </si>
  <si>
    <t>Stilt floor preparation for laying of Paver blocks including levelling, chamber block plastering , quarry dust filling compacting consolidation of earth OR VDF Grano floor laying including levelling compaction consolidation of earth, top
finishing with power trowler finish, grooves cutting etc complete as per checklist &amp; Drawings.</t>
  </si>
  <si>
    <t>Column concreting upto Roof level including deshuttering curing as per QC check list.</t>
  </si>
  <si>
    <t xml:space="preserve">FOR 1ST FLOOR </t>
  </si>
  <si>
    <t>FOR 2ND FLOOR WORK to 5th FLOOR WORK</t>
  </si>
  <si>
    <t>OHT, HR &amp; LMR Slab beam RC Wall concreting works as per QC check list</t>
  </si>
  <si>
    <t>Above Terrace</t>
  </si>
  <si>
    <t>1st Layer Rft</t>
  </si>
  <si>
    <t>Door Jambs 7'ht Nos</t>
  </si>
  <si>
    <t>Ledge Wall</t>
  </si>
  <si>
    <t>Soild Blocks</t>
  </si>
  <si>
    <t>Lift Wall</t>
  </si>
  <si>
    <t>Total Qty AAC 4" in Sft</t>
  </si>
  <si>
    <t>Solid 4" in Sft</t>
  </si>
  <si>
    <t>Total Qty AAC 8" CFT</t>
  </si>
  <si>
    <t>Solid 8" CFT</t>
  </si>
  <si>
    <t>Solid Block work 8"</t>
  </si>
  <si>
    <t>Solid Block work 4"</t>
  </si>
  <si>
    <t>Solid Block 8"</t>
  </si>
  <si>
    <t>Solid Block 4"</t>
  </si>
  <si>
    <t>AAC 4" and Solid 4"</t>
  </si>
  <si>
    <t>AAC 8" and Solid 8"</t>
  </si>
  <si>
    <t>Block work with 8" &amp; 4" AAC and Solid block including door frame fixing, lintel, loft sunshade concreting works with QC report and outer duct block work (Work as per Check list)</t>
  </si>
  <si>
    <t>Solid Block 8" (16"x8"</t>
  </si>
  <si>
    <t>Aadheeswar Lock Set</t>
  </si>
  <si>
    <t>Deduct D2</t>
  </si>
  <si>
    <t>Lobby - West</t>
  </si>
  <si>
    <t xml:space="preserve">Staircase </t>
  </si>
  <si>
    <t>Fire Duct</t>
  </si>
  <si>
    <t xml:space="preserve">Lift </t>
  </si>
  <si>
    <t>Base Floor Lobby  (Grid 13-16)</t>
  </si>
  <si>
    <t>Base Floor Lobby  (Grid 25-28)</t>
  </si>
  <si>
    <t>Deduct GD2</t>
  </si>
  <si>
    <t>Electrical Room</t>
  </si>
  <si>
    <t>Deduction  - D3</t>
  </si>
  <si>
    <t>Inner wall 8" near duct</t>
  </si>
  <si>
    <t>Inner wall 8"(b/w mens and women</t>
  </si>
  <si>
    <t>Inner wall 4" - inner Mens toilet</t>
  </si>
  <si>
    <t>Deduction  - D3a</t>
  </si>
  <si>
    <t>Inner wall 4" - inner Womens toilet</t>
  </si>
  <si>
    <t>Mens Toilet Ledge</t>
  </si>
  <si>
    <t>Womens Toilet Ledge</t>
  </si>
  <si>
    <t>Wash Room (Grid 8-9)</t>
  </si>
  <si>
    <t>Wash Room (Grid10-12)</t>
  </si>
  <si>
    <t>Deduction  - W1</t>
  </si>
  <si>
    <t>Wash Room (Grid17-18)</t>
  </si>
  <si>
    <t>Electrical Room  (Grid12-14)</t>
  </si>
  <si>
    <t>Electrical Room  (Grid15-17)</t>
  </si>
  <si>
    <t xml:space="preserve">Lobby </t>
  </si>
  <si>
    <t>Stilt Floor Lobby grid(13-17)</t>
  </si>
  <si>
    <t>Deduct GD1</t>
  </si>
  <si>
    <t>OFFICE A</t>
  </si>
  <si>
    <t>Deduction  - Glazing</t>
  </si>
  <si>
    <t>OFFICE B</t>
  </si>
  <si>
    <t>B1</t>
  </si>
  <si>
    <t xml:space="preserve">East </t>
  </si>
  <si>
    <t>west</t>
  </si>
  <si>
    <t>B2</t>
  </si>
  <si>
    <t>B3</t>
  </si>
  <si>
    <t>B4</t>
  </si>
  <si>
    <t>Mens Washroom</t>
  </si>
  <si>
    <t>Watchman Toilet</t>
  </si>
  <si>
    <t>Women Washroom</t>
  </si>
  <si>
    <t>Inner wall 4" - inner mens toilet</t>
  </si>
  <si>
    <t>Staircase</t>
  </si>
  <si>
    <t>Lobby</t>
  </si>
  <si>
    <t>B5</t>
  </si>
  <si>
    <t>B6</t>
  </si>
  <si>
    <t>B7</t>
  </si>
  <si>
    <t>OFFICE C</t>
  </si>
  <si>
    <t>Lobby Grid (1-6)</t>
  </si>
  <si>
    <t>Deduction  - GD2</t>
  </si>
  <si>
    <t>AHU Room  (Grid12-14)</t>
  </si>
  <si>
    <t xml:space="preserve">South - Railing </t>
  </si>
  <si>
    <t>AHU Room  (Grid15-17)</t>
  </si>
  <si>
    <t>North - Glazing</t>
  </si>
  <si>
    <t>Staricase(1-6)</t>
  </si>
  <si>
    <t>Lift (1-6)</t>
  </si>
  <si>
    <t>Fire Duct(1-6)</t>
  </si>
  <si>
    <t>Electrical Room Grid (7-8)</t>
  </si>
  <si>
    <t>Electrical Room Grid (8-9)</t>
  </si>
  <si>
    <t>OFFICE C Outer Wall</t>
  </si>
  <si>
    <t>OFFICE D</t>
  </si>
  <si>
    <t>D3</t>
  </si>
  <si>
    <t>D4</t>
  </si>
  <si>
    <t>D5</t>
  </si>
  <si>
    <t>D6</t>
  </si>
  <si>
    <t>D7</t>
  </si>
  <si>
    <t>OFFICE E,G</t>
  </si>
  <si>
    <t>OFFICE F,H</t>
  </si>
  <si>
    <t>F,H1</t>
  </si>
  <si>
    <t>F,H2</t>
  </si>
  <si>
    <t>F,H3</t>
  </si>
  <si>
    <t>F,H4</t>
  </si>
  <si>
    <t>F,H5</t>
  </si>
  <si>
    <t>F,H6</t>
  </si>
  <si>
    <t>F,H7</t>
  </si>
  <si>
    <t>Fire Duct -1</t>
  </si>
  <si>
    <t>North - Lobby side</t>
  </si>
  <si>
    <t>Deduct Lift Open</t>
  </si>
  <si>
    <t>Lobby 1 - Staircase Headroom</t>
  </si>
  <si>
    <t>Lobby 1 - Lift upto Terrace</t>
  </si>
  <si>
    <t>Lobby 1 - Lift Well</t>
  </si>
  <si>
    <t>Lobby 2 - Staircase Headroom</t>
  </si>
  <si>
    <t>Lobby 2 - Lift upto Terrace</t>
  </si>
  <si>
    <t>Lobby 2 - Lift Well</t>
  </si>
  <si>
    <t>Lobby 3 - Staircase Headroom</t>
  </si>
  <si>
    <t>D3a</t>
  </si>
  <si>
    <t>Typical 1st, 2nd 3rd floors</t>
  </si>
  <si>
    <t>W1</t>
  </si>
  <si>
    <t>W2</t>
  </si>
  <si>
    <t>V1</t>
  </si>
  <si>
    <t>GD1</t>
  </si>
  <si>
    <t>GD2</t>
  </si>
  <si>
    <t>D3 - Bottom</t>
  </si>
  <si>
    <t>D3a - Bottom</t>
  </si>
  <si>
    <t>W1 - Bottom</t>
  </si>
  <si>
    <t>Typical 2,3 FLOOR</t>
  </si>
  <si>
    <t>W2 - Bottom</t>
  </si>
  <si>
    <t>V1 - Bottom</t>
  </si>
  <si>
    <t>GD1 - Bottom</t>
  </si>
  <si>
    <t>GD2 - Bottom</t>
  </si>
  <si>
    <t>GD- Bottom</t>
  </si>
  <si>
    <t>KW4- Bottom</t>
  </si>
  <si>
    <t xml:space="preserve">V1 </t>
  </si>
  <si>
    <t xml:space="preserve">Stilt </t>
  </si>
  <si>
    <t>1st,2nd,3rd</t>
  </si>
  <si>
    <t>Basement to 5 floors</t>
  </si>
  <si>
    <t>Aashna Basement Floor</t>
  </si>
  <si>
    <t>Aashna Stilt Floor</t>
  </si>
  <si>
    <t>Aashna First Floor BW</t>
  </si>
  <si>
    <t>Aashna Typical Floor BW</t>
  </si>
  <si>
    <t>Aashna Terrace BW</t>
  </si>
  <si>
    <t>Aashna Chips Packing</t>
  </si>
  <si>
    <t xml:space="preserve">Aashna Beam Bot Concrete packing </t>
  </si>
  <si>
    <t>Aashna Sill Concrete</t>
  </si>
  <si>
    <t>Aashna Lintel Concrete</t>
  </si>
  <si>
    <t xml:space="preserve">PROJECT : JAINS BUSINESS BAY </t>
  </si>
  <si>
    <t>Sub : Plinth Area Statement</t>
  </si>
  <si>
    <t>No of Floors :  BASEMENT + GROUND + 3 FLOORS</t>
  </si>
  <si>
    <t>Box window</t>
  </si>
  <si>
    <t>Double Height Lobby</t>
  </si>
  <si>
    <t xml:space="preserve">Basement floor </t>
  </si>
  <si>
    <t>Option 5 Found</t>
  </si>
  <si>
    <t>Ground Floor</t>
  </si>
  <si>
    <t xml:space="preserve">1st floor </t>
  </si>
  <si>
    <t>2nd floor</t>
  </si>
  <si>
    <t>3rd floor</t>
  </si>
  <si>
    <t>Terrace Floor - OHT</t>
  </si>
  <si>
    <t>Total PLINTH AREA - Sft</t>
  </si>
  <si>
    <t>NMR</t>
  </si>
  <si>
    <t>Total SALABLE AREA - Sft</t>
  </si>
  <si>
    <r>
      <rPr>
        <b/>
        <sz val="11"/>
        <rFont val="Calibri"/>
        <family val="2"/>
        <scheme val="minor"/>
      </rPr>
      <t xml:space="preserve">Project  : </t>
    </r>
    <r>
      <rPr>
        <sz val="11"/>
        <rFont val="Calibri"/>
        <family val="2"/>
        <scheme val="minor"/>
      </rPr>
      <t xml:space="preserve">JAINS BUSINESS BAY </t>
    </r>
  </si>
  <si>
    <t xml:space="preserve"> Abstract Rev</t>
  </si>
  <si>
    <t>items</t>
  </si>
  <si>
    <t>RCC  - M25</t>
  </si>
  <si>
    <t>RCC  - M30</t>
  </si>
  <si>
    <t xml:space="preserve">Shuttering </t>
  </si>
  <si>
    <t>12mm</t>
  </si>
  <si>
    <t>16mm</t>
  </si>
  <si>
    <t>20mm</t>
  </si>
  <si>
    <t>25mm</t>
  </si>
  <si>
    <t>32mm</t>
  </si>
  <si>
    <t>Slab</t>
  </si>
  <si>
    <t>Column</t>
  </si>
  <si>
    <t>Beam</t>
  </si>
  <si>
    <t xml:space="preserve">Basement  floor Roof </t>
  </si>
  <si>
    <t>Shear wall ( Lift)</t>
  </si>
  <si>
    <t xml:space="preserve">Ground floor Roof </t>
  </si>
  <si>
    <t>First  floor Roof Quantity</t>
  </si>
  <si>
    <t>Second  floor Roof Quantity</t>
  </si>
  <si>
    <t>Third  floor Roof /Terrace floor level</t>
  </si>
  <si>
    <t>Total for all floor Cu.m /Sft/Kg</t>
  </si>
  <si>
    <t>Round Off</t>
  </si>
  <si>
    <t>Slab area</t>
  </si>
  <si>
    <t>Column area</t>
  </si>
  <si>
    <t>Cement PPC</t>
  </si>
  <si>
    <t xml:space="preserve">Sand </t>
  </si>
  <si>
    <t>Co.Eff</t>
  </si>
  <si>
    <t>Curing Bund</t>
  </si>
  <si>
    <t>Cover Block</t>
  </si>
  <si>
    <t xml:space="preserve">Total Qty </t>
  </si>
  <si>
    <t>Total Qty - Roundup</t>
  </si>
  <si>
    <t xml:space="preserve">West fin wall </t>
  </si>
  <si>
    <t>JAIN HOUSING</t>
  </si>
  <si>
    <t>JAIN COIMBATORE PROJECTS</t>
  </si>
  <si>
    <t xml:space="preserve">Project  : Business bay </t>
  </si>
  <si>
    <t xml:space="preserve">NA </t>
  </si>
  <si>
    <r>
      <rPr>
        <b/>
        <sz val="11"/>
        <rFont val="Calibri"/>
        <family val="2"/>
        <scheme val="minor"/>
      </rPr>
      <t>Subject :</t>
    </r>
    <r>
      <rPr>
        <sz val="11"/>
        <rFont val="Calibri"/>
        <family val="2"/>
        <scheme val="minor"/>
      </rPr>
      <t xml:space="preserve"> Masonry Blockwork Budget </t>
    </r>
  </si>
  <si>
    <t>Date : 27.08.22</t>
  </si>
  <si>
    <t>To be Approved budget</t>
  </si>
  <si>
    <r>
      <rPr>
        <b/>
        <sz val="11"/>
        <rFont val="Calibri"/>
        <family val="2"/>
        <scheme val="minor"/>
      </rPr>
      <t xml:space="preserve">Project  : </t>
    </r>
    <r>
      <rPr>
        <sz val="11"/>
        <rFont val="Calibri"/>
        <family val="2"/>
        <scheme val="minor"/>
      </rPr>
      <t>Aadhidev</t>
    </r>
  </si>
  <si>
    <t>Date : 01.04.2024</t>
  </si>
  <si>
    <t>Solid Block 6"</t>
  </si>
  <si>
    <t>Rebar Lock Fix Chemical Hilti HY 200 (500 ml Tin)</t>
  </si>
  <si>
    <t>Already Approved budget Amount - MSB</t>
  </si>
  <si>
    <t>Already Approved budget Amount - S+5</t>
  </si>
  <si>
    <t>NA</t>
  </si>
  <si>
    <t>8" and 4" Solid block works</t>
  </si>
  <si>
    <t>Total 142 Flats</t>
  </si>
  <si>
    <t>Avg one flat cost</t>
  </si>
  <si>
    <t>1st Floor to 5th floors</t>
  </si>
  <si>
    <t>Total 80 Flats</t>
  </si>
  <si>
    <t>8" - Cft</t>
  </si>
  <si>
    <t>8" - sft</t>
  </si>
  <si>
    <t>Beam - bottom</t>
  </si>
  <si>
    <t>Grinding and Hacking for the Beam, and 50 % of column area</t>
  </si>
  <si>
    <t>1st Floors</t>
  </si>
  <si>
    <t>Total Shuttering qty</t>
  </si>
  <si>
    <t>Basement floros</t>
  </si>
  <si>
    <t>NA - -</t>
  </si>
  <si>
    <t>Sill concrete</t>
  </si>
  <si>
    <t>Base Floor Lobby                 (Grid 1-8)</t>
  </si>
  <si>
    <t>Ground floor</t>
  </si>
  <si>
    <t>2nd &amp; 3nd floors</t>
  </si>
  <si>
    <t>Terrrace floors</t>
  </si>
  <si>
    <t>Total Labour Amount in Basement floors</t>
  </si>
  <si>
    <t>Total Labour Amount in Ground floors</t>
  </si>
  <si>
    <t>Total Labour Amount in First floors</t>
  </si>
  <si>
    <t>Total Labour Amount in 2nd &amp; 3nd floors</t>
  </si>
  <si>
    <t>Total Labour Amount in Terrace floors</t>
  </si>
  <si>
    <t>Budg #: 03</t>
  </si>
  <si>
    <t>Basement - 12' 6"</t>
  </si>
  <si>
    <t>Typical - 11' 10"</t>
  </si>
  <si>
    <t>Parapet - 3' 0"</t>
  </si>
  <si>
    <t>Lobby - 9' 8"</t>
  </si>
  <si>
    <t>Month</t>
  </si>
  <si>
    <t>Mixer machine rental charges including diesel charges</t>
  </si>
  <si>
    <t>Other charges</t>
  </si>
  <si>
    <t>our rate</t>
  </si>
  <si>
    <t>Parapet - 4' 0"</t>
  </si>
  <si>
    <t>Mixer machine rental charges including all charges</t>
  </si>
  <si>
    <t xml:space="preserve">Others - SO </t>
  </si>
  <si>
    <t>Business Bay New Window Band Detail Appd Brick Tile</t>
  </si>
  <si>
    <t>L</t>
  </si>
  <si>
    <t>B</t>
  </si>
  <si>
    <t>D</t>
  </si>
  <si>
    <t>All Around The Window Appd Brick Tile</t>
  </si>
  <si>
    <t>East Side</t>
  </si>
  <si>
    <t>West Side</t>
  </si>
  <si>
    <t>North Side</t>
  </si>
  <si>
    <t>South Side</t>
  </si>
  <si>
    <t>Total Area In Sqft</t>
  </si>
  <si>
    <t>Material</t>
  </si>
  <si>
    <t>Sl.no</t>
  </si>
  <si>
    <t>units</t>
  </si>
  <si>
    <t>qty</t>
  </si>
  <si>
    <t>Appd Brick Tile</t>
  </si>
  <si>
    <t>Adhesive</t>
  </si>
  <si>
    <t>Date : 29.12.2025</t>
  </si>
  <si>
    <r>
      <rPr>
        <b/>
        <sz val="11"/>
        <rFont val="Calibri"/>
        <family val="2"/>
        <scheme val="minor"/>
      </rPr>
      <t>Subject :</t>
    </r>
    <r>
      <rPr>
        <sz val="11"/>
        <rFont val="Calibri"/>
        <family val="2"/>
        <scheme val="minor"/>
      </rPr>
      <t xml:space="preserve"> Overall Masonry - Blockwork Budget </t>
    </r>
  </si>
  <si>
    <t>Stilt Floor Lobby grid    (1-6)</t>
  </si>
  <si>
    <t>Electrical Room                     (Grid 8-9)</t>
  </si>
  <si>
    <t>Electrical Room inculding duct</t>
  </si>
  <si>
    <t>South with outer wal1</t>
  </si>
  <si>
    <t>Deduction  - FW4</t>
  </si>
  <si>
    <t>North &amp; south</t>
  </si>
  <si>
    <t>Deduct Opening</t>
  </si>
  <si>
    <t>Deduction  - D4</t>
  </si>
  <si>
    <t>Deduct duct louver</t>
  </si>
  <si>
    <t>Deduction  - GD1</t>
  </si>
  <si>
    <t>Old</t>
  </si>
  <si>
    <t>Sub : Overall details</t>
  </si>
  <si>
    <t>Sub : Block Work Abstract - Rev</t>
  </si>
  <si>
    <t>Lift (1-6) &amp; duct</t>
  </si>
  <si>
    <t>South - Par</t>
  </si>
  <si>
    <t>South - pat</t>
  </si>
  <si>
    <t>Deduct FW4</t>
  </si>
  <si>
    <t>Louver</t>
  </si>
  <si>
    <t>First floor  - 9' 10"</t>
  </si>
  <si>
    <t>Typical floors  9' 10"</t>
  </si>
  <si>
    <t>Floors</t>
  </si>
  <si>
    <t>Length of wall</t>
  </si>
  <si>
    <t>For Outer, Staircase,lift, Duct &amp; OTS</t>
  </si>
  <si>
    <t>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</si>
</sst>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quot;$&quot;* #,##0.00_);_(&quot;$&quot;* \(#,##0.00\);_(&quot;$&quot;* &quot;-&quot;??_);_(@_)"/>
    <numFmt numFmtId="165" formatCode="_(* #,##0.00_);_(* \(#,##0.00\);_(* &quot;-&quot;??_);_(@_)"/>
    <numFmt numFmtId="166" formatCode="0.000"/>
    <numFmt numFmtId="167" formatCode="_(* #,##0_);_(* \(#,##0\);_(* &quot;-&quot;??_);_(@_)"/>
    <numFmt numFmtId="168" formatCode="0.0000"/>
  </numFmts>
  <fonts count="6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b/>
      <sz val="10"/>
      <color rgb="FFFF0000"/>
      <name val="Calibri"/>
      <family val="2"/>
      <scheme val="minor"/>
    </font>
    <font>
      <b/>
      <sz val="14"/>
      <color rgb="FFFF0000"/>
      <name val="Calibri"/>
      <family val="2"/>
      <scheme val="minor"/>
    </font>
    <font>
      <b/>
      <sz val="10"/>
      <color theme="1"/>
      <name val="Calibri"/>
      <family val="2"/>
      <scheme val="minor"/>
    </font>
    <font>
      <sz val="9"/>
      <color theme="1"/>
      <name val="Calibri"/>
      <family val="2"/>
      <scheme val="minor"/>
    </font>
    <font>
      <sz val="11"/>
      <color indexed="8"/>
      <name val="Calibri"/>
      <family val="2"/>
    </font>
    <font>
      <sz val="11"/>
      <color indexed="9"/>
      <name val="Calibri"/>
      <family val="2"/>
    </font>
    <font>
      <b/>
      <sz val="12"/>
      <name val="Times New Roman"/>
      <family val="1"/>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color indexed="8"/>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FF0000"/>
      <name val="Calibri"/>
      <family val="2"/>
      <scheme val="minor"/>
    </font>
    <font>
      <sz val="11"/>
      <name val="Calibri"/>
      <family val="2"/>
      <scheme val="minor"/>
    </font>
    <font>
      <b/>
      <sz val="11"/>
      <color rgb="FFFF0000"/>
      <name val="Calibri"/>
      <family val="2"/>
      <scheme val="minor"/>
    </font>
    <font>
      <b/>
      <sz val="14"/>
      <name val="Calibri"/>
      <family val="2"/>
      <scheme val="minor"/>
    </font>
    <font>
      <b/>
      <sz val="11"/>
      <name val="Calibri"/>
      <family val="2"/>
      <scheme val="minor"/>
    </font>
    <font>
      <b/>
      <sz val="12"/>
      <color rgb="FFFF0000"/>
      <name val="Calibri"/>
      <family val="2"/>
      <scheme val="minor"/>
    </font>
    <font>
      <b/>
      <sz val="13"/>
      <color theme="1"/>
      <name val="Calibri"/>
      <family val="2"/>
      <scheme val="minor"/>
    </font>
    <font>
      <b/>
      <sz val="13"/>
      <color rgb="FFFF0000"/>
      <name val="Calibri"/>
      <family val="2"/>
      <scheme val="minor"/>
    </font>
    <font>
      <sz val="10"/>
      <color rgb="FFFF0000"/>
      <name val="Calibri"/>
      <family val="2"/>
      <scheme val="minor"/>
    </font>
    <font>
      <sz val="11"/>
      <color rgb="FF000000"/>
      <name val="Arial"/>
      <family val="2"/>
    </font>
    <font>
      <sz val="11"/>
      <color rgb="FFFFFFFF"/>
      <name val="Arial"/>
      <family val="2"/>
    </font>
    <font>
      <sz val="11"/>
      <color rgb="FF006100"/>
      <name val="Arial"/>
      <family val="2"/>
    </font>
    <font>
      <sz val="11"/>
      <color rgb="FF9C0006"/>
      <name val="Arial"/>
      <family val="2"/>
    </font>
    <font>
      <b/>
      <sz val="18"/>
      <color rgb="FF1F4A7E"/>
      <name val="Cambria"/>
      <family val="2"/>
    </font>
    <font>
      <b/>
      <sz val="15"/>
      <color rgb="FF1F4A7E"/>
      <name val="Arial"/>
      <family val="2"/>
    </font>
    <font>
      <b/>
      <sz val="13"/>
      <color rgb="FF1F4A7E"/>
      <name val="Arial"/>
      <family val="2"/>
    </font>
    <font>
      <b/>
      <sz val="11"/>
      <color rgb="FF1F4A7E"/>
      <name val="Arial"/>
      <family val="2"/>
    </font>
    <font>
      <b/>
      <sz val="11"/>
      <color rgb="FFFFFFFF"/>
      <name val="Arial"/>
      <family val="2"/>
    </font>
    <font>
      <b/>
      <sz val="11"/>
      <color rgb="FF000000"/>
      <name val="Arial"/>
      <family val="2"/>
    </font>
    <font>
      <i/>
      <sz val="11"/>
      <color rgb="FF7F7F7F"/>
      <name val="Arial"/>
      <family val="2"/>
    </font>
    <font>
      <sz val="11"/>
      <color rgb="FFFF0000"/>
      <name val="Arial"/>
      <family val="2"/>
    </font>
    <font>
      <b/>
      <sz val="11"/>
      <color rgb="FFFA7D00"/>
      <name val="Arial"/>
      <family val="2"/>
    </font>
    <font>
      <sz val="11"/>
      <color rgb="FF3F3F76"/>
      <name val="Arial"/>
      <family val="2"/>
    </font>
    <font>
      <b/>
      <sz val="11"/>
      <color rgb="FF3F3F3F"/>
      <name val="Arial"/>
      <family val="2"/>
    </font>
    <font>
      <sz val="11"/>
      <color rgb="FF9C6500"/>
      <name val="Arial"/>
      <family val="2"/>
    </font>
    <font>
      <sz val="11"/>
      <color rgb="FFFA7D00"/>
      <name val="Arial"/>
      <family val="2"/>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b/>
      <sz val="10"/>
      <name val="Arial"/>
      <family val="2"/>
    </font>
    <font>
      <sz val="12"/>
      <color theme="1"/>
      <name val="Calibri"/>
      <family val="2"/>
      <scheme val="minor"/>
    </font>
    <font>
      <sz val="11"/>
      <color rgb="FF000000"/>
      <name val="Calibri"/>
      <family val="2"/>
    </font>
    <font>
      <sz val="11"/>
      <name val="Calibri"/>
      <family val="2"/>
    </font>
    <font>
      <u/>
      <sz val="11"/>
      <color theme="10"/>
      <name val="Calibri"/>
      <family val="2"/>
    </font>
    <font>
      <sz val="10"/>
      <name val="Tw Cen MT"/>
      <family val="2"/>
    </font>
    <font>
      <b/>
      <sz val="12"/>
      <name val="Calibri"/>
      <family val="2"/>
      <scheme val="minor"/>
    </font>
  </fonts>
  <fills count="79">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rgb="FF66FFFF"/>
        <bgColor indexed="64"/>
      </patternFill>
    </fill>
    <fill>
      <patternFill patternType="solid">
        <fgColor theme="5" tint="0.59999389629810485"/>
        <bgColor indexed="64"/>
      </patternFill>
    </fill>
    <fill>
      <patternFill patternType="solid">
        <fgColor rgb="FF99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
      <patternFill patternType="solid">
        <fgColor rgb="FF66FF99"/>
        <bgColor indexed="64"/>
      </patternFill>
    </fill>
    <fill>
      <patternFill patternType="solid">
        <fgColor rgb="FFD0FCFE"/>
        <bgColor indexed="64"/>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8CBE4"/>
      </patternFill>
    </fill>
    <fill>
      <patternFill patternType="solid">
        <fgColor rgb="FFE5B8B6"/>
      </patternFill>
    </fill>
    <fill>
      <patternFill patternType="solid">
        <fgColor rgb="FFD5E3BB"/>
      </patternFill>
    </fill>
    <fill>
      <patternFill patternType="solid">
        <fgColor rgb="FFCABFD8"/>
      </patternFill>
    </fill>
    <fill>
      <patternFill patternType="solid">
        <fgColor rgb="FFB6DDE8"/>
      </patternFill>
    </fill>
    <fill>
      <patternFill patternType="solid">
        <fgColor rgb="FFFBD3B3"/>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0000"/>
        <bgColor indexed="64"/>
      </patternFill>
    </fill>
    <fill>
      <patternFill patternType="solid">
        <fgColor theme="2" tint="-9.9978637043366805E-2"/>
        <bgColor indexed="64"/>
      </patternFill>
    </fill>
    <fill>
      <patternFill patternType="solid">
        <fgColor rgb="FF00FFFF"/>
        <bgColor indexed="64"/>
      </patternFill>
    </fill>
    <fill>
      <patternFill patternType="solid">
        <fgColor theme="4" tint="0.7999816888943144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6" tint="0.39997558519241921"/>
        <bgColor indexed="64"/>
      </patternFill>
    </fill>
  </fills>
  <borders count="11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thin">
        <color indexed="64"/>
      </right>
      <top style="thin">
        <color auto="1"/>
      </top>
      <bottom style="hair">
        <color auto="1"/>
      </bottom>
      <diagonal/>
    </border>
    <border>
      <left/>
      <right/>
      <top style="thin">
        <color indexed="64"/>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thin">
        <color auto="1"/>
      </top>
      <bottom style="hair">
        <color auto="1"/>
      </bottom>
      <diagonal/>
    </border>
    <border>
      <left/>
      <right/>
      <top style="hair">
        <color auto="1"/>
      </top>
      <bottom style="hair">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rgb="FF5181BD"/>
      </bottom>
      <diagonal/>
    </border>
    <border>
      <left/>
      <right/>
      <top/>
      <bottom style="thick">
        <color rgb="FFA6BFDD"/>
      </bottom>
      <diagonal/>
    </border>
    <border>
      <left/>
      <right/>
      <top/>
      <bottom style="medium">
        <color rgb="FF96B3D7"/>
      </bottom>
      <diagonal/>
    </border>
    <border>
      <left/>
      <right/>
      <top style="thin">
        <color rgb="FF5181BD"/>
      </top>
      <bottom style="double">
        <color rgb="FF5181BD"/>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324">
    <xf numFmtId="0" fontId="0" fillId="0" borderId="0"/>
    <xf numFmtId="165" fontId="1" fillId="0" borderId="0" applyFont="0" applyFill="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2" fillId="0" borderId="6" applyNumberFormat="0" applyFont="0" applyFill="0" applyBorder="0" applyAlignment="0" applyProtection="0">
      <alignment horizontal="center"/>
    </xf>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30" borderId="7" applyNumberFormat="0" applyAlignment="0" applyProtection="0"/>
    <xf numFmtId="0" fontId="14" fillId="30" borderId="7" applyNumberFormat="0" applyAlignment="0" applyProtection="0"/>
    <xf numFmtId="0" fontId="15" fillId="31" borderId="8" applyNumberFormat="0" applyAlignment="0" applyProtection="0"/>
    <xf numFmtId="0" fontId="15" fillId="31" borderId="8" applyNumberFormat="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9" fillId="0" borderId="9" applyNumberFormat="0" applyFill="0" applyAlignment="0" applyProtection="0"/>
    <xf numFmtId="0" fontId="19" fillId="0" borderId="9"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17" borderId="7" applyNumberFormat="0" applyAlignment="0" applyProtection="0"/>
    <xf numFmtId="0" fontId="23" fillId="17" borderId="7" applyNumberFormat="0" applyAlignment="0" applyProtection="0"/>
    <xf numFmtId="0" fontId="24" fillId="0" borderId="12" applyNumberFormat="0" applyFill="0" applyAlignment="0" applyProtection="0"/>
    <xf numFmtId="0" fontId="24" fillId="0" borderId="12" applyNumberFormat="0" applyFill="0" applyAlignment="0" applyProtection="0"/>
    <xf numFmtId="0" fontId="25" fillId="32" borderId="0" applyNumberFormat="0" applyBorder="0" applyAlignment="0" applyProtection="0"/>
    <xf numFmtId="0" fontId="25" fillId="32" borderId="0" applyNumberFormat="0" applyBorder="0" applyAlignment="0" applyProtection="0"/>
    <xf numFmtId="0" fontId="26" fillId="0" borderId="0"/>
    <xf numFmtId="0" fontId="16"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6" fillId="0" borderId="0"/>
    <xf numFmtId="0" fontId="16" fillId="0" borderId="0"/>
    <xf numFmtId="0" fontId="1" fillId="0" borderId="0"/>
    <xf numFmtId="0" fontId="1" fillId="0" borderId="0"/>
    <xf numFmtId="0" fontId="16" fillId="0" borderId="0"/>
    <xf numFmtId="0" fontId="16" fillId="0" borderId="0"/>
    <xf numFmtId="0" fontId="16"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 fillId="33" borderId="13" applyNumberFormat="0" applyFont="0" applyAlignment="0" applyProtection="0"/>
    <xf numFmtId="0" fontId="10" fillId="33" borderId="13" applyNumberFormat="0" applyFont="0" applyAlignment="0" applyProtection="0"/>
    <xf numFmtId="0" fontId="27" fillId="30" borderId="14" applyNumberFormat="0" applyAlignment="0" applyProtection="0"/>
    <xf numFmtId="0" fontId="27" fillId="30" borderId="14"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0" fontId="16" fillId="0" borderId="0"/>
    <xf numFmtId="0" fontId="16" fillId="0" borderId="0"/>
    <xf numFmtId="0" fontId="40" fillId="48" borderId="0" applyNumberFormat="0" applyBorder="0" applyAlignment="0" applyProtection="0"/>
    <xf numFmtId="0" fontId="40" fillId="49"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5" borderId="0" applyNumberFormat="0" applyBorder="0" applyAlignment="0" applyProtection="0"/>
    <xf numFmtId="0" fontId="40" fillId="56" borderId="0" applyNumberFormat="0" applyBorder="0" applyAlignment="0" applyProtection="0"/>
    <xf numFmtId="0" fontId="40" fillId="57"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12" fillId="0" borderId="62" applyNumberFormat="0" applyFont="0" applyFill="0" applyBorder="0" applyAlignment="0" applyProtection="0">
      <alignment horizontal="center"/>
    </xf>
    <xf numFmtId="0" fontId="14" fillId="30" borderId="63" applyNumberFormat="0" applyAlignment="0" applyProtection="0"/>
    <xf numFmtId="165" fontId="16" fillId="0" borderId="0" applyFont="0" applyFill="0" applyBorder="0" applyAlignment="0" applyProtection="0"/>
    <xf numFmtId="43"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0" fontId="23" fillId="17" borderId="63" applyNumberFormat="0" applyAlignment="0" applyProtection="0"/>
    <xf numFmtId="0" fontId="1" fillId="0" borderId="0"/>
    <xf numFmtId="0" fontId="10" fillId="33" borderId="64" applyNumberFormat="0" applyFont="0" applyAlignment="0" applyProtection="0"/>
    <xf numFmtId="0" fontId="10" fillId="33" borderId="64" applyNumberFormat="0" applyFont="0" applyAlignment="0" applyProtection="0"/>
    <xf numFmtId="0" fontId="27" fillId="30" borderId="65" applyNumberFormat="0" applyAlignment="0" applyProtection="0"/>
    <xf numFmtId="0" fontId="27" fillId="30" borderId="65" applyNumberFormat="0" applyAlignment="0" applyProtection="0"/>
    <xf numFmtId="9" fontId="16" fillId="0" borderId="0" applyFont="0" applyFill="0" applyBorder="0" applyAlignment="0" applyProtection="0"/>
    <xf numFmtId="0" fontId="29" fillId="0" borderId="66" applyNumberFormat="0" applyFill="0" applyAlignment="0" applyProtection="0"/>
    <xf numFmtId="0" fontId="29" fillId="0" borderId="66" applyNumberFormat="0" applyFill="0" applyAlignment="0" applyProtection="0"/>
    <xf numFmtId="0" fontId="42" fillId="38" borderId="0" applyNumberFormat="0" applyBorder="0" applyAlignment="0" applyProtection="0"/>
    <xf numFmtId="0" fontId="43" fillId="39"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41" fillId="68" borderId="0" applyNumberFormat="0" applyBorder="0" applyAlignment="0" applyProtection="0"/>
    <xf numFmtId="0" fontId="41" fillId="69" borderId="0" applyNumberFormat="0" applyBorder="0" applyAlignment="0" applyProtection="0"/>
    <xf numFmtId="0" fontId="41" fillId="70" borderId="0" applyNumberFormat="0" applyBorder="0" applyAlignment="0" applyProtection="0"/>
    <xf numFmtId="0" fontId="41" fillId="71" borderId="0" applyNumberFormat="0" applyBorder="0" applyAlignment="0" applyProtection="0"/>
    <xf numFmtId="0" fontId="44" fillId="0" borderId="0" applyNumberFormat="0" applyFill="0" applyBorder="0" applyAlignment="0" applyProtection="0"/>
    <xf numFmtId="0" fontId="45" fillId="0" borderId="67" applyNumberFormat="0" applyFill="0" applyAlignment="0" applyProtection="0"/>
    <xf numFmtId="0" fontId="46" fillId="0" borderId="68" applyNumberFormat="0" applyFill="0" applyAlignment="0" applyProtection="0"/>
    <xf numFmtId="0" fontId="47" fillId="0" borderId="69" applyNumberFormat="0" applyFill="0" applyAlignment="0" applyProtection="0"/>
    <xf numFmtId="0" fontId="47" fillId="0" borderId="0" applyNumberFormat="0" applyFill="0" applyBorder="0" applyAlignment="0" applyProtection="0"/>
    <xf numFmtId="0" fontId="48" fillId="43" borderId="57" applyNumberFormat="0" applyAlignment="0" applyProtection="0"/>
    <xf numFmtId="0" fontId="49" fillId="0" borderId="70" applyNumberFormat="0" applyFill="0" applyAlignment="0" applyProtection="0"/>
    <xf numFmtId="0" fontId="40" fillId="44" borderId="58" applyNumberFormat="0" applyFon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42" borderId="54" applyNumberFormat="0" applyAlignment="0" applyProtection="0"/>
    <xf numFmtId="0" fontId="53" fillId="41" borderId="54" applyNumberFormat="0" applyAlignment="0" applyProtection="0"/>
    <xf numFmtId="0" fontId="54" fillId="42" borderId="55" applyNumberFormat="0" applyAlignment="0" applyProtection="0"/>
    <xf numFmtId="0" fontId="55" fillId="40" borderId="0" applyNumberFormat="0" applyBorder="0" applyAlignment="0" applyProtection="0"/>
    <xf numFmtId="0" fontId="56" fillId="0" borderId="56" applyNumberFormat="0" applyFill="0" applyAlignment="0" applyProtection="0"/>
    <xf numFmtId="0" fontId="16" fillId="0" borderId="0"/>
    <xf numFmtId="165" fontId="1" fillId="0" borderId="0" applyFont="0" applyFill="0" applyBorder="0" applyAlignment="0" applyProtection="0"/>
    <xf numFmtId="0" fontId="12" fillId="0" borderId="78" applyNumberFormat="0" applyFont="0" applyFill="0" applyBorder="0" applyAlignment="0" applyProtection="0">
      <alignment horizontal="center"/>
    </xf>
    <xf numFmtId="0" fontId="14" fillId="30" borderId="79" applyNumberFormat="0" applyAlignment="0" applyProtection="0"/>
    <xf numFmtId="0" fontId="14" fillId="30" borderId="79" applyNumberFormat="0" applyAlignment="0" applyProtection="0"/>
    <xf numFmtId="0" fontId="23" fillId="17" borderId="79" applyNumberFormat="0" applyAlignment="0" applyProtection="0"/>
    <xf numFmtId="0" fontId="23" fillId="17" borderId="79" applyNumberFormat="0" applyAlignment="0" applyProtection="0"/>
    <xf numFmtId="0" fontId="10" fillId="33" borderId="80" applyNumberFormat="0" applyFont="0" applyAlignment="0" applyProtection="0"/>
    <xf numFmtId="0" fontId="10" fillId="33" borderId="80" applyNumberFormat="0" applyFont="0" applyAlignment="0" applyProtection="0"/>
    <xf numFmtId="0" fontId="27" fillId="30" borderId="81" applyNumberFormat="0" applyAlignment="0" applyProtection="0"/>
    <xf numFmtId="0" fontId="27" fillId="30" borderId="81" applyNumberFormat="0" applyAlignment="0" applyProtection="0"/>
    <xf numFmtId="0" fontId="29" fillId="0" borderId="82" applyNumberFormat="0" applyFill="0" applyAlignment="0" applyProtection="0"/>
    <xf numFmtId="0" fontId="29" fillId="0" borderId="82" applyNumberFormat="0" applyFill="0" applyAlignment="0" applyProtection="0"/>
    <xf numFmtId="0" fontId="12" fillId="0" borderId="83" applyNumberFormat="0" applyFont="0" applyFill="0" applyBorder="0" applyAlignment="0" applyProtection="0">
      <alignment horizontal="center"/>
    </xf>
    <xf numFmtId="0" fontId="14" fillId="30" borderId="84" applyNumberFormat="0" applyAlignment="0" applyProtection="0"/>
    <xf numFmtId="0" fontId="23" fillId="17" borderId="84" applyNumberFormat="0" applyAlignment="0" applyProtection="0"/>
    <xf numFmtId="0" fontId="10" fillId="33" borderId="85" applyNumberFormat="0" applyFont="0" applyAlignment="0" applyProtection="0"/>
    <xf numFmtId="0" fontId="10" fillId="33" borderId="85" applyNumberFormat="0" applyFont="0" applyAlignment="0" applyProtection="0"/>
    <xf numFmtId="0" fontId="27" fillId="30" borderId="86" applyNumberFormat="0" applyAlignment="0" applyProtection="0"/>
    <xf numFmtId="0" fontId="27" fillId="30" borderId="86" applyNumberFormat="0" applyAlignment="0" applyProtection="0"/>
    <xf numFmtId="0" fontId="29" fillId="0" borderId="87" applyNumberFormat="0" applyFill="0" applyAlignment="0" applyProtection="0"/>
    <xf numFmtId="0" fontId="29" fillId="0" borderId="87" applyNumberFormat="0" applyFill="0" applyAlignment="0" applyProtection="0"/>
    <xf numFmtId="165" fontId="1" fillId="0" borderId="0" applyFont="0" applyFill="0" applyBorder="0" applyAlignment="0" applyProtection="0"/>
    <xf numFmtId="0" fontId="12" fillId="0" borderId="93" applyNumberFormat="0" applyFont="0" applyFill="0" applyBorder="0" applyAlignment="0" applyProtection="0">
      <alignment horizontal="center"/>
    </xf>
    <xf numFmtId="0" fontId="14" fillId="30" borderId="94" applyNumberFormat="0" applyAlignment="0" applyProtection="0"/>
    <xf numFmtId="0" fontId="14" fillId="30" borderId="94" applyNumberFormat="0" applyAlignment="0" applyProtection="0"/>
    <xf numFmtId="0" fontId="23" fillId="17" borderId="94" applyNumberFormat="0" applyAlignment="0" applyProtection="0"/>
    <xf numFmtId="0" fontId="23" fillId="17" borderId="94" applyNumberFormat="0" applyAlignment="0" applyProtection="0"/>
    <xf numFmtId="0" fontId="10" fillId="33" borderId="95" applyNumberFormat="0" applyFont="0" applyAlignment="0" applyProtection="0"/>
    <xf numFmtId="0" fontId="10" fillId="33" borderId="95" applyNumberFormat="0" applyFont="0" applyAlignment="0" applyProtection="0"/>
    <xf numFmtId="0" fontId="27" fillId="30" borderId="96" applyNumberFormat="0" applyAlignment="0" applyProtection="0"/>
    <xf numFmtId="0" fontId="27" fillId="30" borderId="96" applyNumberFormat="0" applyAlignment="0" applyProtection="0"/>
    <xf numFmtId="0" fontId="29" fillId="0" borderId="97" applyNumberFormat="0" applyFill="0" applyAlignment="0" applyProtection="0"/>
    <xf numFmtId="0" fontId="29" fillId="0" borderId="97" applyNumberFormat="0" applyFill="0" applyAlignment="0" applyProtection="0"/>
    <xf numFmtId="0" fontId="12" fillId="0" borderId="98" applyNumberFormat="0" applyFont="0" applyFill="0" applyBorder="0" applyAlignment="0" applyProtection="0">
      <alignment horizontal="center"/>
    </xf>
    <xf numFmtId="0" fontId="14" fillId="30" borderId="99" applyNumberFormat="0" applyAlignment="0" applyProtection="0"/>
    <xf numFmtId="0" fontId="23" fillId="17" borderId="99" applyNumberFormat="0" applyAlignment="0" applyProtection="0"/>
    <xf numFmtId="0" fontId="10" fillId="33" borderId="100" applyNumberFormat="0" applyFont="0" applyAlignment="0" applyProtection="0"/>
    <xf numFmtId="0" fontId="10" fillId="33" borderId="100" applyNumberFormat="0" applyFont="0" applyAlignment="0" applyProtection="0"/>
    <xf numFmtId="0" fontId="27" fillId="30" borderId="101" applyNumberFormat="0" applyAlignment="0" applyProtection="0"/>
    <xf numFmtId="0" fontId="27" fillId="30" borderId="101" applyNumberFormat="0" applyAlignment="0" applyProtection="0"/>
    <xf numFmtId="0" fontId="29" fillId="0" borderId="102" applyNumberFormat="0" applyFill="0" applyAlignment="0" applyProtection="0"/>
    <xf numFmtId="0" fontId="29" fillId="0" borderId="102" applyNumberFormat="0" applyFill="0" applyAlignment="0" applyProtection="0"/>
    <xf numFmtId="0" fontId="12" fillId="0" borderId="98" applyNumberFormat="0" applyFont="0" applyFill="0" applyBorder="0" applyAlignment="0" applyProtection="0">
      <alignment horizontal="center"/>
    </xf>
    <xf numFmtId="0" fontId="12" fillId="0" borderId="98" applyNumberFormat="0" applyFont="0" applyFill="0" applyBorder="0" applyAlignment="0" applyProtection="0">
      <alignment horizontal="center"/>
    </xf>
    <xf numFmtId="0" fontId="12" fillId="0" borderId="98" applyNumberFormat="0" applyFont="0" applyFill="0" applyBorder="0" applyAlignment="0" applyProtection="0">
      <alignment horizontal="center"/>
    </xf>
    <xf numFmtId="0" fontId="12" fillId="0" borderId="98" applyNumberFormat="0" applyFont="0" applyFill="0" applyBorder="0" applyAlignment="0" applyProtection="0">
      <alignment horizontal="center"/>
    </xf>
    <xf numFmtId="0" fontId="12" fillId="0" borderId="98" applyNumberFormat="0" applyFont="0" applyFill="0" applyBorder="0" applyAlignment="0" applyProtection="0">
      <alignment horizontal="center"/>
    </xf>
    <xf numFmtId="0" fontId="14" fillId="30" borderId="94" applyNumberFormat="0" applyAlignment="0" applyProtection="0"/>
    <xf numFmtId="0" fontId="14" fillId="30" borderId="94" applyNumberFormat="0" applyAlignment="0" applyProtection="0"/>
    <xf numFmtId="0" fontId="14" fillId="30" borderId="94" applyNumberFormat="0" applyAlignment="0" applyProtection="0"/>
    <xf numFmtId="0" fontId="14" fillId="30" borderId="94" applyNumberFormat="0" applyAlignment="0" applyProtection="0"/>
    <xf numFmtId="0" fontId="14" fillId="30" borderId="94" applyNumberFormat="0" applyAlignment="0" applyProtection="0"/>
    <xf numFmtId="0" fontId="14" fillId="30" borderId="94" applyNumberFormat="0" applyAlignment="0" applyProtection="0"/>
    <xf numFmtId="0" fontId="14" fillId="30" borderId="94" applyNumberFormat="0" applyAlignment="0" applyProtection="0"/>
    <xf numFmtId="0" fontId="14" fillId="30" borderId="94" applyNumberFormat="0" applyAlignment="0" applyProtection="0"/>
    <xf numFmtId="0" fontId="14" fillId="30" borderId="94" applyNumberFormat="0" applyAlignment="0" applyProtection="0"/>
    <xf numFmtId="0" fontId="14" fillId="30" borderId="94" applyNumberFormat="0" applyAlignment="0" applyProtection="0"/>
    <xf numFmtId="0" fontId="14" fillId="30" borderId="94" applyNumberFormat="0" applyAlignment="0" applyProtection="0"/>
    <xf numFmtId="165" fontId="16" fillId="0" borderId="0" applyFont="0" applyFill="0" applyBorder="0" applyAlignment="0" applyProtection="0"/>
    <xf numFmtId="0"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64" fillId="0" borderId="0">
      <alignment vertical="top"/>
      <protection locked="0"/>
    </xf>
    <xf numFmtId="0" fontId="66" fillId="0" borderId="0" applyNumberFormat="0" applyFill="0" applyBorder="0" applyAlignment="0" applyProtection="0">
      <alignment vertical="top"/>
      <protection locked="0"/>
    </xf>
    <xf numFmtId="0" fontId="23" fillId="17" borderId="94" applyNumberFormat="0" applyAlignment="0" applyProtection="0"/>
    <xf numFmtId="0" fontId="23" fillId="17" borderId="94" applyNumberFormat="0" applyAlignment="0" applyProtection="0"/>
    <xf numFmtId="0" fontId="23" fillId="17" borderId="94" applyNumberFormat="0" applyAlignment="0" applyProtection="0"/>
    <xf numFmtId="0" fontId="23" fillId="17" borderId="94" applyNumberFormat="0" applyAlignment="0" applyProtection="0"/>
    <xf numFmtId="0" fontId="23" fillId="17" borderId="94" applyNumberFormat="0" applyAlignment="0" applyProtection="0"/>
    <xf numFmtId="0" fontId="23" fillId="17" borderId="94" applyNumberFormat="0" applyAlignment="0" applyProtection="0"/>
    <xf numFmtId="0" fontId="23" fillId="17" borderId="94" applyNumberFormat="0" applyAlignment="0" applyProtection="0"/>
    <xf numFmtId="0" fontId="23" fillId="17" borderId="94" applyNumberFormat="0" applyAlignment="0" applyProtection="0"/>
    <xf numFmtId="0" fontId="23" fillId="17" borderId="94" applyNumberFormat="0" applyAlignment="0" applyProtection="0"/>
    <xf numFmtId="0" fontId="23" fillId="17" borderId="94" applyNumberFormat="0" applyAlignment="0" applyProtection="0"/>
    <xf numFmtId="0" fontId="23" fillId="17" borderId="94" applyNumberFormat="0" applyAlignment="0" applyProtection="0"/>
    <xf numFmtId="0" fontId="16" fillId="0" borderId="0"/>
    <xf numFmtId="0" fontId="26" fillId="0" borderId="0"/>
    <xf numFmtId="0" fontId="26" fillId="0" borderId="0"/>
    <xf numFmtId="0" fontId="16" fillId="0" borderId="0"/>
    <xf numFmtId="0" fontId="16"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0" borderId="0"/>
    <xf numFmtId="0" fontId="16" fillId="0" borderId="0"/>
    <xf numFmtId="0" fontId="67" fillId="0" borderId="0"/>
    <xf numFmtId="0" fontId="16" fillId="0" borderId="0">
      <alignment vertical="center"/>
    </xf>
    <xf numFmtId="0" fontId="65" fillId="0" borderId="0">
      <alignment vertical="center"/>
    </xf>
    <xf numFmtId="0" fontId="10" fillId="33" borderId="95" applyNumberFormat="0" applyFont="0" applyAlignment="0" applyProtection="0"/>
    <xf numFmtId="0" fontId="10" fillId="33" borderId="95" applyNumberFormat="0" applyFont="0" applyAlignment="0" applyProtection="0"/>
    <xf numFmtId="0" fontId="10" fillId="33" borderId="95" applyNumberFormat="0" applyFont="0" applyAlignment="0" applyProtection="0"/>
    <xf numFmtId="0" fontId="10" fillId="33" borderId="95" applyNumberFormat="0" applyFont="0" applyAlignment="0" applyProtection="0"/>
    <xf numFmtId="0" fontId="10" fillId="33" borderId="95" applyNumberFormat="0" applyFont="0" applyAlignment="0" applyProtection="0"/>
    <xf numFmtId="0" fontId="10" fillId="33" borderId="95" applyNumberFormat="0" applyFont="0" applyAlignment="0" applyProtection="0"/>
    <xf numFmtId="0" fontId="10" fillId="33" borderId="95" applyNumberFormat="0" applyFont="0" applyAlignment="0" applyProtection="0"/>
    <xf numFmtId="0" fontId="10" fillId="33" borderId="95" applyNumberFormat="0" applyFont="0" applyAlignment="0" applyProtection="0"/>
    <xf numFmtId="0" fontId="10" fillId="33" borderId="95" applyNumberFormat="0" applyFont="0" applyAlignment="0" applyProtection="0"/>
    <xf numFmtId="0" fontId="10" fillId="33" borderId="95" applyNumberFormat="0" applyFont="0" applyAlignment="0" applyProtection="0"/>
    <xf numFmtId="0" fontId="10" fillId="33" borderId="95" applyNumberFormat="0" applyFont="0" applyAlignment="0" applyProtection="0"/>
    <xf numFmtId="0" fontId="27" fillId="30" borderId="103" applyNumberFormat="0" applyAlignment="0" applyProtection="0"/>
    <xf numFmtId="0" fontId="27" fillId="30" borderId="103" applyNumberFormat="0" applyAlignment="0" applyProtection="0"/>
    <xf numFmtId="0" fontId="27" fillId="30" borderId="103" applyNumberFormat="0" applyAlignment="0" applyProtection="0"/>
    <xf numFmtId="0" fontId="27" fillId="30" borderId="103" applyNumberFormat="0" applyAlignment="0" applyProtection="0"/>
    <xf numFmtId="0" fontId="27" fillId="30" borderId="103" applyNumberFormat="0" applyAlignment="0" applyProtection="0"/>
    <xf numFmtId="0" fontId="27" fillId="30" borderId="103" applyNumberFormat="0" applyAlignment="0" applyProtection="0"/>
    <xf numFmtId="0" fontId="27" fillId="30" borderId="103" applyNumberFormat="0" applyAlignment="0" applyProtection="0"/>
    <xf numFmtId="0" fontId="27" fillId="30" borderId="103" applyNumberFormat="0" applyAlignment="0" applyProtection="0"/>
    <xf numFmtId="0" fontId="27" fillId="30" borderId="103" applyNumberFormat="0" applyAlignment="0" applyProtection="0"/>
    <xf numFmtId="0" fontId="27" fillId="30" borderId="103" applyNumberFormat="0" applyAlignment="0" applyProtection="0"/>
    <xf numFmtId="0" fontId="27" fillId="30" borderId="103" applyNumberFormat="0" applyAlignment="0" applyProtection="0"/>
    <xf numFmtId="9" fontId="65" fillId="0" borderId="0" applyFont="0" applyFill="0" applyBorder="0" applyAlignment="0" applyProtection="0"/>
    <xf numFmtId="0" fontId="29" fillId="0" borderId="104" applyNumberFormat="0" applyFill="0" applyAlignment="0" applyProtection="0"/>
    <xf numFmtId="0" fontId="29" fillId="0" borderId="104" applyNumberFormat="0" applyFill="0" applyAlignment="0" applyProtection="0"/>
    <xf numFmtId="0" fontId="29" fillId="0" borderId="104" applyNumberFormat="0" applyFill="0" applyAlignment="0" applyProtection="0"/>
    <xf numFmtId="0" fontId="29" fillId="0" borderId="104" applyNumberFormat="0" applyFill="0" applyAlignment="0" applyProtection="0"/>
    <xf numFmtId="0" fontId="29" fillId="0" borderId="104" applyNumberFormat="0" applyFill="0" applyAlignment="0" applyProtection="0"/>
    <xf numFmtId="0" fontId="29" fillId="0" borderId="104" applyNumberFormat="0" applyFill="0" applyAlignment="0" applyProtection="0"/>
    <xf numFmtId="0" fontId="29" fillId="0" borderId="104" applyNumberFormat="0" applyFill="0" applyAlignment="0" applyProtection="0"/>
    <xf numFmtId="0" fontId="29" fillId="0" borderId="104" applyNumberFormat="0" applyFill="0" applyAlignment="0" applyProtection="0"/>
    <xf numFmtId="0" fontId="29" fillId="0" borderId="104" applyNumberFormat="0" applyFill="0" applyAlignment="0" applyProtection="0"/>
    <xf numFmtId="0" fontId="29" fillId="0" borderId="104" applyNumberFormat="0" applyFill="0" applyAlignment="0" applyProtection="0"/>
    <xf numFmtId="0" fontId="29" fillId="0" borderId="104" applyNumberFormat="0" applyFill="0" applyAlignment="0" applyProtection="0"/>
    <xf numFmtId="165" fontId="16" fillId="0" borderId="0" applyFont="0" applyFill="0" applyBorder="0" applyAlignment="0" applyProtection="0"/>
    <xf numFmtId="0" fontId="16" fillId="0" borderId="0"/>
  </cellStyleXfs>
  <cellXfs count="847">
    <xf numFmtId="0" fontId="0" fillId="0" borderId="0" xfId="0"/>
    <xf numFmtId="0" fontId="0" fillId="0" borderId="0" xfId="0" applyAlignment="1">
      <alignment horizontal="center" vertical="center" wrapText="1"/>
    </xf>
    <xf numFmtId="0" fontId="0" fillId="0" borderId="0" xfId="0" applyAlignment="1">
      <alignment vertical="center" wrapText="1"/>
    </xf>
    <xf numFmtId="165" fontId="0" fillId="0" borderId="0" xfId="1" applyFont="1" applyAlignment="1">
      <alignment horizontal="center" vertical="center" wrapText="1"/>
    </xf>
    <xf numFmtId="0" fontId="0" fillId="2" borderId="0" xfId="0" applyFill="1" applyAlignment="1">
      <alignment vertical="center" wrapText="1"/>
    </xf>
    <xf numFmtId="165" fontId="0" fillId="0" borderId="0" xfId="1" applyFont="1" applyAlignment="1">
      <alignment vertical="center" wrapText="1"/>
    </xf>
    <xf numFmtId="165" fontId="0" fillId="2" borderId="0" xfId="1" applyFont="1" applyFill="1" applyAlignment="1">
      <alignment vertical="center" wrapText="1"/>
    </xf>
    <xf numFmtId="0" fontId="3" fillId="0" borderId="2" xfId="0" applyFont="1" applyBorder="1" applyAlignment="1">
      <alignment vertical="center" wrapText="1"/>
    </xf>
    <xf numFmtId="0" fontId="0" fillId="2" borderId="1" xfId="0" applyFill="1" applyBorder="1" applyAlignment="1">
      <alignment vertical="center" wrapText="1"/>
    </xf>
    <xf numFmtId="165" fontId="0" fillId="2" borderId="1" xfId="1" applyFont="1" applyFill="1" applyBorder="1" applyAlignment="1">
      <alignment vertical="center" wrapText="1"/>
    </xf>
    <xf numFmtId="0" fontId="0" fillId="0" borderId="1" xfId="0" applyBorder="1" applyAlignment="1">
      <alignment horizontal="center" vertical="center" wrapText="1"/>
    </xf>
    <xf numFmtId="165" fontId="0" fillId="0" borderId="1" xfId="1" applyFont="1" applyBorder="1" applyAlignment="1">
      <alignment horizontal="center" vertical="center" wrapText="1"/>
    </xf>
    <xf numFmtId="165" fontId="0" fillId="6" borderId="1" xfId="1" applyFont="1" applyFill="1" applyBorder="1" applyAlignment="1">
      <alignment horizontal="center" vertical="center" wrapText="1"/>
    </xf>
    <xf numFmtId="165" fontId="0" fillId="2" borderId="1" xfId="1" applyFont="1" applyFill="1" applyBorder="1" applyAlignment="1">
      <alignment horizontal="center" vertical="center" wrapText="1"/>
    </xf>
    <xf numFmtId="165" fontId="0" fillId="7" borderId="1" xfId="1" applyFont="1" applyFill="1" applyBorder="1" applyAlignment="1">
      <alignment horizontal="center" vertical="center" wrapText="1"/>
    </xf>
    <xf numFmtId="2" fontId="0" fillId="0" borderId="1" xfId="0" applyNumberForma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2" fontId="5" fillId="0" borderId="1" xfId="0" applyNumberFormat="1" applyFont="1" applyBorder="1" applyAlignment="1">
      <alignment horizontal="center" vertical="center" wrapText="1"/>
    </xf>
    <xf numFmtId="165" fontId="5" fillId="0" borderId="1" xfId="1" applyFont="1" applyBorder="1" applyAlignment="1">
      <alignment horizontal="center" vertical="center" wrapText="1"/>
    </xf>
    <xf numFmtId="2" fontId="5" fillId="2" borderId="1" xfId="0" applyNumberFormat="1" applyFont="1" applyFill="1" applyBorder="1" applyAlignment="1">
      <alignment horizontal="center" vertical="center" wrapText="1"/>
    </xf>
    <xf numFmtId="165" fontId="6" fillId="6" borderId="1" xfId="1" applyFont="1" applyFill="1" applyBorder="1" applyAlignment="1">
      <alignment horizontal="center" vertical="center" wrapText="1"/>
    </xf>
    <xf numFmtId="165" fontId="6" fillId="2" borderId="1" xfId="1" applyFont="1" applyFill="1" applyBorder="1" applyAlignment="1">
      <alignment horizontal="center" vertical="center" wrapText="1"/>
    </xf>
    <xf numFmtId="165" fontId="6" fillId="7" borderId="1" xfId="1" applyFont="1" applyFill="1" applyBorder="1" applyAlignment="1">
      <alignment horizontal="center" vertical="center" wrapText="1"/>
    </xf>
    <xf numFmtId="0" fontId="5" fillId="2" borderId="1" xfId="0" applyFont="1" applyFill="1" applyBorder="1" applyAlignment="1">
      <alignment vertical="center" wrapText="1"/>
    </xf>
    <xf numFmtId="165" fontId="5" fillId="2" borderId="1" xfId="1" applyFont="1" applyFill="1" applyBorder="1" applyAlignment="1">
      <alignment vertical="center" wrapText="1"/>
    </xf>
    <xf numFmtId="0" fontId="5" fillId="0" borderId="0" xfId="0" applyFont="1" applyAlignment="1">
      <alignment vertical="center" wrapText="1"/>
    </xf>
    <xf numFmtId="0" fontId="0" fillId="3" borderId="1" xfId="0" applyFill="1" applyBorder="1" applyAlignment="1">
      <alignment horizontal="center" vertical="center" wrapText="1"/>
    </xf>
    <xf numFmtId="0" fontId="0" fillId="3" borderId="1" xfId="0" applyFill="1" applyBorder="1" applyAlignment="1">
      <alignment vertical="center" wrapText="1"/>
    </xf>
    <xf numFmtId="2" fontId="0" fillId="3" borderId="1" xfId="0" applyNumberFormat="1" applyFill="1" applyBorder="1" applyAlignment="1">
      <alignment horizontal="center" vertical="center" wrapText="1"/>
    </xf>
    <xf numFmtId="165" fontId="0" fillId="3" borderId="1" xfId="1" applyFont="1" applyFill="1" applyBorder="1" applyAlignment="1">
      <alignment horizontal="center" vertical="center" wrapText="1"/>
    </xf>
    <xf numFmtId="0" fontId="0" fillId="9" borderId="0" xfId="0" applyFill="1" applyAlignment="1">
      <alignment horizontal="center" vertical="center" wrapText="1"/>
    </xf>
    <xf numFmtId="0" fontId="2" fillId="0" borderId="0" xfId="0" applyFont="1" applyAlignment="1">
      <alignment horizontal="left" vertical="center" wrapText="1"/>
    </xf>
    <xf numFmtId="2" fontId="0" fillId="9" borderId="0" xfId="0" applyNumberFormat="1" applyFill="1" applyAlignment="1">
      <alignment horizontal="center" vertical="center" wrapText="1"/>
    </xf>
    <xf numFmtId="165" fontId="0" fillId="9" borderId="0" xfId="1" applyFont="1" applyFill="1" applyBorder="1" applyAlignment="1">
      <alignment horizontal="center" vertical="center" wrapText="1"/>
    </xf>
    <xf numFmtId="0" fontId="0" fillId="9" borderId="0" xfId="0" applyFill="1" applyAlignment="1">
      <alignment vertical="center" wrapText="1"/>
    </xf>
    <xf numFmtId="165" fontId="0" fillId="9" borderId="0" xfId="1" applyFont="1" applyFill="1" applyAlignment="1">
      <alignment vertical="center" wrapText="1"/>
    </xf>
    <xf numFmtId="0" fontId="2" fillId="0" borderId="0" xfId="0" applyFont="1" applyAlignment="1">
      <alignment horizontal="center" vertical="center" wrapText="1"/>
    </xf>
    <xf numFmtId="165" fontId="2" fillId="0" borderId="0" xfId="1" applyFont="1" applyAlignment="1">
      <alignment horizontal="center" vertical="center" wrapText="1"/>
    </xf>
    <xf numFmtId="0" fontId="2" fillId="2" borderId="0" xfId="0" applyFont="1" applyFill="1" applyAlignment="1">
      <alignment vertical="center" wrapText="1"/>
    </xf>
    <xf numFmtId="165" fontId="2" fillId="0" borderId="0" xfId="1" applyFont="1" applyAlignment="1">
      <alignment vertical="center" wrapText="1"/>
    </xf>
    <xf numFmtId="165" fontId="2" fillId="2" borderId="0" xfId="1" applyFont="1" applyFill="1" applyAlignment="1">
      <alignment vertical="center" wrapText="1"/>
    </xf>
    <xf numFmtId="0" fontId="2" fillId="0" borderId="0" xfId="0" applyFont="1" applyAlignment="1">
      <alignment vertical="center" wrapText="1"/>
    </xf>
    <xf numFmtId="0" fontId="5" fillId="2" borderId="0" xfId="0" applyFont="1" applyFill="1" applyAlignment="1">
      <alignment horizontal="center" vertical="center" wrapText="1"/>
    </xf>
    <xf numFmtId="165" fontId="5" fillId="9" borderId="1" xfId="1" applyFont="1" applyFill="1" applyBorder="1" applyAlignment="1">
      <alignment vertical="center" wrapText="1"/>
    </xf>
    <xf numFmtId="0" fontId="5" fillId="9" borderId="1" xfId="0" applyFont="1" applyFill="1" applyBorder="1" applyAlignment="1">
      <alignment horizontal="center" vertical="center" wrapText="1"/>
    </xf>
    <xf numFmtId="165" fontId="5" fillId="9" borderId="1" xfId="1" applyFont="1" applyFill="1" applyBorder="1" applyAlignment="1">
      <alignment horizontal="center" vertical="center" wrapText="1"/>
    </xf>
    <xf numFmtId="0" fontId="5" fillId="9" borderId="0" xfId="0" applyFont="1" applyFill="1" applyAlignment="1">
      <alignment horizontal="center" vertical="center" wrapText="1"/>
    </xf>
    <xf numFmtId="0" fontId="8" fillId="0" borderId="1" xfId="0" applyFont="1" applyBorder="1" applyAlignment="1">
      <alignment vertical="center" wrapText="1"/>
    </xf>
    <xf numFmtId="165" fontId="9" fillId="0" borderId="1" xfId="1" applyFont="1" applyBorder="1" applyAlignment="1">
      <alignment horizontal="center" vertical="center" wrapText="1"/>
    </xf>
    <xf numFmtId="165" fontId="6" fillId="0" borderId="1" xfId="1" applyFont="1" applyBorder="1" applyAlignment="1">
      <alignment horizontal="center" vertical="center" wrapText="1"/>
    </xf>
    <xf numFmtId="2" fontId="6" fillId="0" borderId="1" xfId="0" applyNumberFormat="1" applyFont="1" applyBorder="1" applyAlignment="1">
      <alignment horizontal="center" vertical="center" wrapText="1"/>
    </xf>
    <xf numFmtId="0" fontId="5" fillId="2" borderId="0" xfId="0" applyFont="1" applyFill="1" applyAlignment="1">
      <alignment vertical="center" wrapText="1"/>
    </xf>
    <xf numFmtId="165" fontId="6" fillId="9" borderId="1" xfId="1" applyFont="1" applyFill="1" applyBorder="1" applyAlignment="1">
      <alignment horizontal="center" vertical="center" wrapText="1"/>
    </xf>
    <xf numFmtId="2" fontId="8" fillId="0" borderId="1" xfId="0" applyNumberFormat="1" applyFont="1" applyBorder="1" applyAlignment="1">
      <alignment horizontal="center" vertical="center" wrapText="1"/>
    </xf>
    <xf numFmtId="0" fontId="8" fillId="11" borderId="1" xfId="0" applyFont="1" applyFill="1" applyBorder="1" applyAlignment="1">
      <alignment horizontal="center" vertical="center" wrapText="1"/>
    </xf>
    <xf numFmtId="0" fontId="8" fillId="11" borderId="1" xfId="0" applyFont="1" applyFill="1" applyBorder="1" applyAlignment="1">
      <alignment vertical="center" wrapText="1"/>
    </xf>
    <xf numFmtId="165" fontId="8" fillId="11" borderId="1" xfId="1" applyFont="1" applyFill="1" applyBorder="1" applyAlignment="1">
      <alignment horizontal="center" vertical="center" wrapText="1"/>
    </xf>
    <xf numFmtId="165" fontId="6" fillId="11" borderId="1" xfId="1" applyFont="1" applyFill="1" applyBorder="1" applyAlignment="1">
      <alignment horizontal="center" vertical="center" wrapText="1"/>
    </xf>
    <xf numFmtId="0" fontId="8" fillId="2" borderId="0" xfId="0" applyFont="1" applyFill="1" applyAlignment="1">
      <alignment vertical="center" wrapText="1"/>
    </xf>
    <xf numFmtId="0" fontId="5" fillId="0" borderId="1" xfId="0" applyFont="1" applyBorder="1" applyAlignment="1">
      <alignment vertical="center" wrapText="1"/>
    </xf>
    <xf numFmtId="165" fontId="0" fillId="0" borderId="1" xfId="1" applyFont="1" applyFill="1" applyBorder="1" applyAlignment="1">
      <alignment horizontal="center" vertical="center" wrapText="1"/>
    </xf>
    <xf numFmtId="0" fontId="8" fillId="34" borderId="1" xfId="0" applyFont="1" applyFill="1" applyBorder="1" applyAlignment="1">
      <alignment vertical="center" wrapText="1"/>
    </xf>
    <xf numFmtId="0" fontId="0" fillId="0" borderId="16" xfId="0" applyBorder="1" applyAlignment="1">
      <alignment horizontal="center" vertical="center" wrapText="1"/>
    </xf>
    <xf numFmtId="165" fontId="0" fillId="0" borderId="16" xfId="1" applyFont="1" applyBorder="1" applyAlignment="1">
      <alignment horizontal="center" vertical="center" wrapText="1"/>
    </xf>
    <xf numFmtId="165" fontId="0" fillId="2" borderId="16" xfId="1" applyFont="1" applyFill="1" applyBorder="1" applyAlignment="1">
      <alignment horizontal="center" vertical="center" wrapText="1"/>
    </xf>
    <xf numFmtId="0" fontId="0" fillId="4" borderId="23" xfId="0" applyFill="1" applyBorder="1" applyAlignment="1">
      <alignment horizontal="center" vertical="center" wrapText="1"/>
    </xf>
    <xf numFmtId="0" fontId="0" fillId="0" borderId="23" xfId="0" applyBorder="1" applyAlignment="1">
      <alignment horizontal="center" vertical="center" wrapText="1"/>
    </xf>
    <xf numFmtId="165" fontId="0" fillId="0" borderId="24" xfId="1" applyFont="1" applyFill="1" applyBorder="1" applyAlignment="1">
      <alignment horizontal="center" vertical="center" wrapText="1"/>
    </xf>
    <xf numFmtId="0" fontId="0" fillId="0" borderId="22" xfId="0" applyBorder="1" applyAlignment="1">
      <alignment horizontal="center" vertical="center" wrapText="1"/>
    </xf>
    <xf numFmtId="2" fontId="0" fillId="0" borderId="23" xfId="0" applyNumberFormat="1" applyBorder="1" applyAlignment="1">
      <alignment horizontal="center" vertical="center" wrapText="1"/>
    </xf>
    <xf numFmtId="165" fontId="0" fillId="0" borderId="23" xfId="1" applyFont="1" applyFill="1" applyBorder="1" applyAlignment="1">
      <alignment horizontal="center" vertical="center" wrapText="1"/>
    </xf>
    <xf numFmtId="165" fontId="0" fillId="0" borderId="23" xfId="1"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165" fontId="0" fillId="0" borderId="28" xfId="1" applyFont="1" applyBorder="1" applyAlignment="1">
      <alignment horizontal="center" vertical="center" wrapText="1"/>
    </xf>
    <xf numFmtId="165" fontId="0" fillId="4" borderId="1" xfId="1" applyFont="1" applyFill="1" applyBorder="1" applyAlignment="1">
      <alignment horizontal="center" wrapText="1"/>
    </xf>
    <xf numFmtId="0" fontId="3" fillId="0" borderId="2" xfId="0" applyFont="1" applyBorder="1" applyAlignment="1">
      <alignment horizontal="center" vertical="center" wrapText="1"/>
    </xf>
    <xf numFmtId="165" fontId="3" fillId="0" borderId="2" xfId="1" applyFont="1" applyBorder="1" applyAlignment="1">
      <alignment horizontal="center" vertical="center" wrapText="1"/>
    </xf>
    <xf numFmtId="165" fontId="5" fillId="2" borderId="1" xfId="1" applyFont="1" applyFill="1" applyBorder="1" applyAlignment="1">
      <alignment horizontal="center" vertical="center" wrapText="1"/>
    </xf>
    <xf numFmtId="0" fontId="0" fillId="4" borderId="16" xfId="0" applyFill="1" applyBorder="1" applyAlignment="1">
      <alignment horizontal="center" vertical="center" wrapText="1"/>
    </xf>
    <xf numFmtId="165" fontId="0" fillId="0" borderId="16" xfId="1" applyFont="1" applyFill="1" applyBorder="1" applyAlignment="1">
      <alignment horizontal="center" vertical="center" wrapText="1"/>
    </xf>
    <xf numFmtId="2" fontId="0" fillId="0" borderId="16" xfId="0" applyNumberFormat="1" applyBorder="1" applyAlignment="1">
      <alignment horizontal="center" vertical="center" wrapText="1"/>
    </xf>
    <xf numFmtId="2" fontId="0" fillId="2" borderId="16" xfId="0" applyNumberForma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wrapText="1"/>
    </xf>
    <xf numFmtId="165" fontId="5" fillId="0" borderId="0" xfId="1"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5" fillId="2" borderId="16" xfId="0" applyFont="1" applyFill="1" applyBorder="1" applyAlignment="1">
      <alignment vertical="center" wrapText="1"/>
    </xf>
    <xf numFmtId="0" fontId="5" fillId="0" borderId="16" xfId="0" applyFont="1" applyBorder="1" applyAlignment="1">
      <alignment horizontal="center" vertical="center" wrapText="1"/>
    </xf>
    <xf numFmtId="0" fontId="8" fillId="3" borderId="16" xfId="0" applyFont="1" applyFill="1" applyBorder="1" applyAlignment="1">
      <alignment horizontal="left" vertical="center" wrapText="1"/>
    </xf>
    <xf numFmtId="165" fontId="5" fillId="0" borderId="16" xfId="1" applyFont="1" applyFill="1" applyBorder="1" applyAlignment="1">
      <alignment horizontal="center" vertical="center" wrapText="1"/>
    </xf>
    <xf numFmtId="0" fontId="5" fillId="0" borderId="16" xfId="0" applyFont="1" applyBorder="1" applyAlignment="1">
      <alignment vertical="center" wrapText="1"/>
    </xf>
    <xf numFmtId="0" fontId="8" fillId="0" borderId="16" xfId="0" applyFont="1" applyBorder="1" applyAlignment="1">
      <alignment horizontal="left" vertical="center" wrapText="1"/>
    </xf>
    <xf numFmtId="0" fontId="8" fillId="5" borderId="16" xfId="0" applyFont="1" applyFill="1" applyBorder="1" applyAlignment="1">
      <alignment vertical="center" wrapText="1"/>
    </xf>
    <xf numFmtId="2" fontId="5" fillId="0" borderId="16" xfId="0" applyNumberFormat="1" applyFont="1" applyBorder="1" applyAlignment="1">
      <alignment horizontal="center" vertical="center" wrapText="1"/>
    </xf>
    <xf numFmtId="2" fontId="5" fillId="2" borderId="16" xfId="0" applyNumberFormat="1" applyFont="1" applyFill="1" applyBorder="1" applyAlignment="1">
      <alignment horizontal="center" vertical="center" wrapText="1"/>
    </xf>
    <xf numFmtId="2" fontId="5" fillId="6" borderId="16" xfId="0" applyNumberFormat="1" applyFont="1" applyFill="1" applyBorder="1" applyAlignment="1">
      <alignment horizontal="center" vertical="center" wrapText="1"/>
    </xf>
    <xf numFmtId="2" fontId="5" fillId="7" borderId="16" xfId="0" applyNumberFormat="1" applyFont="1" applyFill="1" applyBorder="1" applyAlignment="1">
      <alignment horizontal="center" vertical="center" wrapText="1"/>
    </xf>
    <xf numFmtId="165" fontId="5" fillId="0" borderId="16" xfId="1" applyFont="1" applyBorder="1" applyAlignment="1">
      <alignment horizontal="center" vertical="center" wrapText="1"/>
    </xf>
    <xf numFmtId="165" fontId="5" fillId="6" borderId="1" xfId="1" applyFont="1" applyFill="1" applyBorder="1" applyAlignment="1">
      <alignment horizontal="center" vertical="center" wrapText="1"/>
    </xf>
    <xf numFmtId="165" fontId="5" fillId="7" borderId="1" xfId="1" applyFont="1" applyFill="1" applyBorder="1" applyAlignment="1">
      <alignment horizontal="center" vertical="center" wrapText="1"/>
    </xf>
    <xf numFmtId="166" fontId="5" fillId="0" borderId="0" xfId="0" applyNumberFormat="1" applyFont="1" applyAlignment="1">
      <alignment horizontal="center" vertical="center" wrapText="1"/>
    </xf>
    <xf numFmtId="165" fontId="5" fillId="0" borderId="0" xfId="1" applyFont="1" applyAlignment="1">
      <alignment horizontal="center" vertical="center" wrapText="1"/>
    </xf>
    <xf numFmtId="0" fontId="3" fillId="0" borderId="0" xfId="0" applyFont="1" applyAlignment="1">
      <alignment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165" fontId="2" fillId="0" borderId="23" xfId="1" applyFont="1" applyBorder="1" applyAlignment="1">
      <alignment horizontal="center" vertical="center" wrapText="1"/>
    </xf>
    <xf numFmtId="165" fontId="2" fillId="0" borderId="25" xfId="1" applyFont="1" applyBorder="1" applyAlignment="1">
      <alignment horizontal="center" vertical="center" wrapText="1"/>
    </xf>
    <xf numFmtId="165" fontId="0" fillId="0" borderId="25" xfId="1" applyFont="1" applyBorder="1" applyAlignment="1">
      <alignment horizontal="center" vertical="center" wrapText="1"/>
    </xf>
    <xf numFmtId="165" fontId="0" fillId="0" borderId="29" xfId="1" applyFont="1" applyBorder="1" applyAlignment="1">
      <alignment horizontal="center" vertical="center" wrapText="1"/>
    </xf>
    <xf numFmtId="0" fontId="2" fillId="4" borderId="16" xfId="0" applyFont="1" applyFill="1" applyBorder="1" applyAlignment="1">
      <alignment horizontal="center" vertical="center" wrapText="1"/>
    </xf>
    <xf numFmtId="0" fontId="32" fillId="0" borderId="0" xfId="95" applyFont="1" applyAlignment="1">
      <alignment vertical="center" wrapText="1"/>
    </xf>
    <xf numFmtId="0" fontId="32" fillId="0" borderId="0" xfId="95" applyFont="1" applyAlignment="1">
      <alignment horizontal="center" vertical="center" wrapText="1"/>
    </xf>
    <xf numFmtId="0" fontId="34" fillId="0" borderId="2" xfId="95" applyFont="1" applyBorder="1" applyAlignment="1">
      <alignment vertical="center" wrapText="1"/>
    </xf>
    <xf numFmtId="0" fontId="32" fillId="4" borderId="16" xfId="95" applyFont="1" applyFill="1" applyBorder="1" applyAlignment="1">
      <alignment horizontal="center" vertical="center" wrapText="1"/>
    </xf>
    <xf numFmtId="2" fontId="32" fillId="4" borderId="16" xfId="95" applyNumberFormat="1" applyFont="1" applyFill="1" applyBorder="1" applyAlignment="1">
      <alignment horizontal="center" vertical="center" wrapText="1"/>
    </xf>
    <xf numFmtId="0" fontId="32" fillId="9" borderId="16" xfId="95" applyFont="1" applyFill="1" applyBorder="1" applyAlignment="1">
      <alignment horizontal="center" vertical="center" wrapText="1"/>
    </xf>
    <xf numFmtId="0" fontId="32" fillId="9" borderId="16" xfId="95" applyFont="1" applyFill="1" applyBorder="1" applyAlignment="1">
      <alignment vertical="center" wrapText="1"/>
    </xf>
    <xf numFmtId="2" fontId="32" fillId="9" borderId="16" xfId="95" applyNumberFormat="1" applyFont="1" applyFill="1" applyBorder="1" applyAlignment="1">
      <alignment horizontal="center" vertical="center" wrapText="1"/>
    </xf>
    <xf numFmtId="2" fontId="32" fillId="0" borderId="16" xfId="95" applyNumberFormat="1" applyFont="1" applyBorder="1" applyAlignment="1">
      <alignment horizontal="center" vertical="center" wrapText="1"/>
    </xf>
    <xf numFmtId="0" fontId="32" fillId="0" borderId="16" xfId="95" applyFont="1" applyBorder="1" applyAlignment="1">
      <alignment horizontal="center" vertical="center" wrapText="1"/>
    </xf>
    <xf numFmtId="0" fontId="35" fillId="9" borderId="16" xfId="95" applyFont="1" applyFill="1" applyBorder="1" applyAlignment="1">
      <alignment vertical="center" wrapText="1"/>
    </xf>
    <xf numFmtId="0" fontId="33" fillId="9" borderId="16" xfId="95" applyFont="1" applyFill="1" applyBorder="1" applyAlignment="1">
      <alignment vertical="center" wrapText="1"/>
    </xf>
    <xf numFmtId="2" fontId="35" fillId="9" borderId="16" xfId="95" applyNumberFormat="1" applyFont="1" applyFill="1" applyBorder="1" applyAlignment="1">
      <alignment horizontal="center" vertical="center" wrapText="1"/>
    </xf>
    <xf numFmtId="2" fontId="33" fillId="9" borderId="16" xfId="95" applyNumberFormat="1" applyFont="1" applyFill="1" applyBorder="1" applyAlignment="1">
      <alignment horizontal="center" vertical="center" wrapText="1"/>
    </xf>
    <xf numFmtId="2" fontId="31" fillId="0" borderId="16" xfId="95" applyNumberFormat="1" applyFont="1" applyBorder="1" applyAlignment="1">
      <alignment horizontal="center" vertical="center" wrapText="1"/>
    </xf>
    <xf numFmtId="0" fontId="32" fillId="0" borderId="16" xfId="95" applyFont="1" applyBorder="1" applyAlignment="1">
      <alignment vertical="center" wrapText="1"/>
    </xf>
    <xf numFmtId="2" fontId="32" fillId="0" borderId="16" xfId="95" applyNumberFormat="1" applyFont="1" applyBorder="1" applyAlignment="1">
      <alignment vertical="center" wrapText="1"/>
    </xf>
    <xf numFmtId="0" fontId="35" fillId="0" borderId="0" xfId="95" applyFont="1" applyAlignment="1">
      <alignment horizontal="center" vertical="center" wrapText="1"/>
    </xf>
    <xf numFmtId="2" fontId="35" fillId="0" borderId="0" xfId="95" applyNumberFormat="1" applyFont="1" applyAlignment="1">
      <alignment horizontal="center" vertical="center" wrapText="1"/>
    </xf>
    <xf numFmtId="0" fontId="3" fillId="0" borderId="0" xfId="0" applyFont="1" applyAlignment="1">
      <alignment horizontal="left"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2" fontId="0" fillId="0" borderId="0" xfId="0" applyNumberFormat="1" applyAlignment="1">
      <alignment horizontal="center" vertical="center" wrapText="1"/>
    </xf>
    <xf numFmtId="2" fontId="2" fillId="0" borderId="0" xfId="0" applyNumberFormat="1" applyFont="1" applyAlignment="1">
      <alignment horizontal="center" vertical="center" wrapText="1"/>
    </xf>
    <xf numFmtId="0" fontId="0" fillId="4" borderId="35"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42" xfId="0" applyFill="1" applyBorder="1" applyAlignment="1">
      <alignment horizontal="center" vertical="center" wrapText="1"/>
    </xf>
    <xf numFmtId="165" fontId="0" fillId="4" borderId="42" xfId="1" applyFont="1" applyFill="1" applyBorder="1" applyAlignment="1">
      <alignment horizontal="center" vertical="center" wrapText="1"/>
    </xf>
    <xf numFmtId="165" fontId="0" fillId="4" borderId="19" xfId="1" applyFont="1" applyFill="1" applyBorder="1" applyAlignment="1">
      <alignment horizontal="center" vertical="center" wrapText="1"/>
    </xf>
    <xf numFmtId="165" fontId="0" fillId="4" borderId="38" xfId="1"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wrapText="1"/>
    </xf>
    <xf numFmtId="165" fontId="4" fillId="0" borderId="25" xfId="1" applyFont="1" applyBorder="1" applyAlignment="1">
      <alignment horizontal="center" vertical="center" wrapText="1"/>
    </xf>
    <xf numFmtId="9" fontId="4" fillId="0" borderId="0" xfId="0" applyNumberFormat="1" applyFont="1" applyAlignment="1">
      <alignment horizontal="center" vertical="center" wrapText="1"/>
    </xf>
    <xf numFmtId="0" fontId="0" fillId="0" borderId="23" xfId="0" applyBorder="1" applyAlignment="1">
      <alignment horizontal="left" vertical="center" wrapText="1"/>
    </xf>
    <xf numFmtId="0" fontId="0" fillId="0" borderId="28" xfId="0" applyBorder="1" applyAlignment="1">
      <alignment horizontal="left"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left" vertical="center" wrapText="1"/>
    </xf>
    <xf numFmtId="0" fontId="2" fillId="3" borderId="44" xfId="0" applyFont="1" applyFill="1" applyBorder="1" applyAlignment="1">
      <alignment horizontal="center" vertical="center" wrapText="1"/>
    </xf>
    <xf numFmtId="165" fontId="2" fillId="3" borderId="44" xfId="0" applyNumberFormat="1" applyFont="1" applyFill="1" applyBorder="1" applyAlignment="1">
      <alignment horizontal="center" vertical="center" wrapText="1"/>
    </xf>
    <xf numFmtId="0" fontId="2" fillId="3" borderId="45" xfId="0" applyFont="1" applyFill="1" applyBorder="1" applyAlignment="1">
      <alignment horizontal="center" vertical="center" wrapText="1"/>
    </xf>
    <xf numFmtId="0" fontId="0" fillId="0" borderId="0" xfId="0" applyAlignment="1">
      <alignment horizontal="left" vertical="center" wrapText="1"/>
    </xf>
    <xf numFmtId="0" fontId="2" fillId="0" borderId="16" xfId="0" applyFont="1" applyBorder="1" applyAlignment="1">
      <alignment horizontal="left" vertical="center" wrapText="1"/>
    </xf>
    <xf numFmtId="166" fontId="2" fillId="0" borderId="16" xfId="0" applyNumberFormat="1" applyFont="1" applyBorder="1" applyAlignment="1">
      <alignment horizontal="center" vertical="center" wrapText="1"/>
    </xf>
    <xf numFmtId="0" fontId="0" fillId="0" borderId="16" xfId="0" applyBorder="1" applyAlignment="1">
      <alignment horizontal="left" vertical="center" wrapText="1"/>
    </xf>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2" fontId="36" fillId="0" borderId="16" xfId="0" applyNumberFormat="1" applyFont="1" applyBorder="1" applyAlignment="1">
      <alignment horizontal="center" vertical="center" wrapText="1"/>
    </xf>
    <xf numFmtId="0" fontId="0" fillId="2" borderId="16" xfId="0" applyFill="1" applyBorder="1" applyAlignment="1">
      <alignment horizontal="center" vertical="center" wrapText="1"/>
    </xf>
    <xf numFmtId="165" fontId="0" fillId="0" borderId="16" xfId="1" applyFont="1" applyBorder="1" applyAlignment="1">
      <alignment horizontal="left" vertical="center" wrapText="1"/>
    </xf>
    <xf numFmtId="2" fontId="36" fillId="2" borderId="16" xfId="0" applyNumberFormat="1" applyFont="1" applyFill="1" applyBorder="1" applyAlignment="1">
      <alignment horizontal="center" vertical="center" wrapText="1"/>
    </xf>
    <xf numFmtId="165" fontId="8" fillId="9" borderId="1" xfId="1" applyFont="1" applyFill="1" applyBorder="1" applyAlignment="1">
      <alignment horizontal="center" vertical="center" wrapText="1"/>
    </xf>
    <xf numFmtId="2" fontId="5" fillId="0" borderId="0" xfId="0" applyNumberFormat="1" applyFont="1" applyAlignment="1">
      <alignment vertical="center" wrapText="1"/>
    </xf>
    <xf numFmtId="165" fontId="0" fillId="4" borderId="23" xfId="1" applyFont="1" applyFill="1" applyBorder="1" applyAlignment="1">
      <alignment horizontal="center" vertical="center" wrapText="1"/>
    </xf>
    <xf numFmtId="0" fontId="0" fillId="0" borderId="39" xfId="0" applyBorder="1" applyAlignment="1">
      <alignment horizontal="center" vertical="center" wrapText="1"/>
    </xf>
    <xf numFmtId="0" fontId="2" fillId="3" borderId="24" xfId="0" applyFont="1" applyFill="1" applyBorder="1" applyAlignment="1">
      <alignment horizontal="left" vertical="center" wrapText="1"/>
    </xf>
    <xf numFmtId="165" fontId="0" fillId="0" borderId="40" xfId="1" applyFont="1" applyFill="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left" vertical="center" wrapText="1"/>
    </xf>
    <xf numFmtId="165" fontId="37" fillId="0" borderId="23" xfId="1" applyFont="1" applyBorder="1" applyAlignment="1">
      <alignment horizontal="center" vertical="center" wrapText="1"/>
    </xf>
    <xf numFmtId="2" fontId="37" fillId="0" borderId="23" xfId="0" applyNumberFormat="1" applyFont="1" applyBorder="1" applyAlignment="1">
      <alignment horizontal="center" vertical="center" wrapText="1"/>
    </xf>
    <xf numFmtId="165" fontId="38" fillId="0" borderId="23" xfId="1" applyFont="1" applyBorder="1" applyAlignment="1">
      <alignment horizontal="center" vertical="center" wrapText="1"/>
    </xf>
    <xf numFmtId="165" fontId="37" fillId="0" borderId="25" xfId="1" applyFont="1" applyBorder="1" applyAlignment="1">
      <alignment horizontal="center" vertical="center" wrapText="1"/>
    </xf>
    <xf numFmtId="0" fontId="37" fillId="0" borderId="0" xfId="0" applyFont="1" applyAlignment="1">
      <alignment horizontal="center" vertical="center" wrapText="1"/>
    </xf>
    <xf numFmtId="165" fontId="2" fillId="35" borderId="28" xfId="1" applyFont="1" applyFill="1" applyBorder="1" applyAlignment="1">
      <alignment horizontal="center" vertical="center" wrapText="1"/>
    </xf>
    <xf numFmtId="165" fontId="3" fillId="0" borderId="2" xfId="1" applyFont="1" applyBorder="1" applyAlignment="1">
      <alignment vertical="center" wrapText="1"/>
    </xf>
    <xf numFmtId="165" fontId="0" fillId="0" borderId="26" xfId="1" applyFont="1" applyBorder="1" applyAlignment="1">
      <alignment horizontal="center" vertical="center" wrapText="1"/>
    </xf>
    <xf numFmtId="165" fontId="0" fillId="0" borderId="23" xfId="1" applyFont="1" applyBorder="1" applyAlignment="1">
      <alignment vertical="center" wrapText="1"/>
    </xf>
    <xf numFmtId="0" fontId="4" fillId="0" borderId="28" xfId="0" applyFont="1" applyBorder="1" applyAlignment="1">
      <alignment horizontal="left" vertical="center" wrapText="1"/>
    </xf>
    <xf numFmtId="165" fontId="36" fillId="0" borderId="30" xfId="1" applyFont="1" applyBorder="1" applyAlignment="1">
      <alignment horizontal="center" vertical="center" wrapText="1"/>
    </xf>
    <xf numFmtId="165" fontId="0" fillId="0" borderId="0" xfId="1" applyFont="1" applyFill="1" applyAlignment="1">
      <alignment vertical="center" wrapText="1"/>
    </xf>
    <xf numFmtId="166" fontId="33" fillId="0" borderId="0" xfId="0" applyNumberFormat="1" applyFont="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0" fillId="4" borderId="52" xfId="0" applyFill="1" applyBorder="1" applyAlignment="1">
      <alignment horizontal="center" vertical="center"/>
    </xf>
    <xf numFmtId="0" fontId="0" fillId="4" borderId="51" xfId="0" applyFill="1" applyBorder="1" applyAlignment="1">
      <alignment horizontal="center" vertical="center"/>
    </xf>
    <xf numFmtId="0" fontId="0" fillId="0" borderId="22" xfId="0" applyBorder="1" applyAlignment="1">
      <alignment horizontal="center" vertical="center"/>
    </xf>
    <xf numFmtId="0" fontId="2" fillId="0" borderId="23" xfId="0" applyFont="1" applyBorder="1" applyAlignment="1">
      <alignment horizontal="left" vertical="center"/>
    </xf>
    <xf numFmtId="0" fontId="0" fillId="0" borderId="23" xfId="0" applyBorder="1" applyAlignment="1">
      <alignment horizontal="center" vertical="center"/>
    </xf>
    <xf numFmtId="0" fontId="0" fillId="0" borderId="25" xfId="0"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2" fontId="2" fillId="0" borderId="23" xfId="0" applyNumberFormat="1"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vertical="center"/>
    </xf>
    <xf numFmtId="165" fontId="0" fillId="0" borderId="22" xfId="1" applyFont="1" applyBorder="1" applyAlignment="1">
      <alignment horizontal="center" vertical="center"/>
    </xf>
    <xf numFmtId="0" fontId="2" fillId="37" borderId="23" xfId="0" applyFont="1" applyFill="1" applyBorder="1" applyAlignment="1">
      <alignment horizontal="left" vertical="center"/>
    </xf>
    <xf numFmtId="165" fontId="0" fillId="0" borderId="23" xfId="1" applyFont="1" applyBorder="1" applyAlignment="1">
      <alignment horizontal="center" vertical="center"/>
    </xf>
    <xf numFmtId="165" fontId="2" fillId="0" borderId="25" xfId="1" applyFont="1" applyBorder="1" applyAlignment="1">
      <alignment horizontal="center" vertical="center"/>
    </xf>
    <xf numFmtId="165" fontId="2" fillId="0" borderId="0" xfId="1" applyFont="1" applyAlignment="1">
      <alignment vertical="center"/>
    </xf>
    <xf numFmtId="165" fontId="0" fillId="0" borderId="23" xfId="1" applyFont="1" applyBorder="1" applyAlignment="1">
      <alignment horizontal="left" vertical="center"/>
    </xf>
    <xf numFmtId="2" fontId="0" fillId="0" borderId="23" xfId="0" applyNumberFormat="1" applyBorder="1" applyAlignment="1">
      <alignment horizontal="center" vertical="center"/>
    </xf>
    <xf numFmtId="165" fontId="0" fillId="0" borderId="0" xfId="1" applyFont="1" applyAlignment="1">
      <alignment vertical="center"/>
    </xf>
    <xf numFmtId="165" fontId="0" fillId="0" borderId="26" xfId="1" applyFont="1" applyBorder="1" applyAlignment="1">
      <alignment horizontal="left" vertical="center"/>
    </xf>
    <xf numFmtId="165" fontId="0" fillId="0" borderId="53" xfId="1" applyFont="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2" fontId="0" fillId="0" borderId="1" xfId="0" applyNumberFormat="1" applyBorder="1" applyAlignment="1">
      <alignment horizontal="center" vertical="center"/>
    </xf>
    <xf numFmtId="0" fontId="2" fillId="0" borderId="1" xfId="0" applyFont="1" applyBorder="1" applyAlignment="1">
      <alignment horizontal="center" vertical="center"/>
    </xf>
    <xf numFmtId="0" fontId="2" fillId="8" borderId="1" xfId="0" applyFont="1" applyFill="1" applyBorder="1" applyAlignment="1">
      <alignment horizontal="center" vertical="center"/>
    </xf>
    <xf numFmtId="0" fontId="33" fillId="36" borderId="0" xfId="0" applyFont="1" applyFill="1" applyAlignment="1">
      <alignment horizontal="center" vertical="center"/>
    </xf>
    <xf numFmtId="165" fontId="0" fillId="0" borderId="0" xfId="1" applyFont="1" applyAlignment="1">
      <alignment horizontal="center" vertical="center"/>
    </xf>
    <xf numFmtId="165" fontId="2" fillId="0" borderId="26" xfId="1" applyFont="1" applyBorder="1" applyAlignment="1">
      <alignment vertical="center"/>
    </xf>
    <xf numFmtId="165" fontId="2" fillId="0" borderId="53" xfId="1" applyFont="1" applyBorder="1" applyAlignment="1">
      <alignment vertical="center"/>
    </xf>
    <xf numFmtId="165" fontId="2" fillId="0" borderId="23" xfId="1" applyFont="1" applyBorder="1" applyAlignment="1">
      <alignment horizontal="center" vertical="center"/>
    </xf>
    <xf numFmtId="165" fontId="5" fillId="0" borderId="1" xfId="1" applyFont="1" applyFill="1" applyBorder="1" applyAlignment="1">
      <alignment horizontal="center" vertical="center" wrapText="1"/>
    </xf>
    <xf numFmtId="165" fontId="5" fillId="0" borderId="1" xfId="1" applyFont="1" applyBorder="1" applyAlignment="1">
      <alignment vertical="center" wrapText="1"/>
    </xf>
    <xf numFmtId="0" fontId="31" fillId="0" borderId="0" xfId="0" applyFont="1" applyAlignment="1">
      <alignment horizontal="center" vertical="center"/>
    </xf>
    <xf numFmtId="2" fontId="8" fillId="0" borderId="0" xfId="0" applyNumberFormat="1" applyFont="1" applyAlignment="1">
      <alignment horizontal="center" vertical="center" wrapText="1"/>
    </xf>
    <xf numFmtId="165" fontId="5" fillId="4" borderId="23" xfId="1" applyFont="1" applyFill="1" applyBorder="1" applyAlignment="1">
      <alignment horizontal="center" vertical="center" wrapText="1"/>
    </xf>
    <xf numFmtId="165" fontId="8" fillId="0" borderId="1" xfId="1" applyFont="1" applyBorder="1" applyAlignment="1">
      <alignment horizontal="center" vertical="center" wrapText="1"/>
    </xf>
    <xf numFmtId="165" fontId="8" fillId="0" borderId="0" xfId="1"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vertical="center" wrapText="1"/>
    </xf>
    <xf numFmtId="0" fontId="5" fillId="0" borderId="23" xfId="0" applyFont="1" applyBorder="1" applyAlignment="1">
      <alignment horizontal="center" vertical="center" wrapText="1"/>
    </xf>
    <xf numFmtId="165" fontId="5" fillId="0" borderId="23" xfId="1" applyFont="1" applyFill="1" applyBorder="1" applyAlignment="1">
      <alignment horizontal="center" vertical="center" wrapText="1"/>
    </xf>
    <xf numFmtId="0" fontId="5" fillId="0" borderId="25" xfId="0" applyFont="1" applyBorder="1" applyAlignment="1">
      <alignment vertical="center" wrapText="1"/>
    </xf>
    <xf numFmtId="165" fontId="5" fillId="0" borderId="1" xfId="1" applyFont="1" applyFill="1" applyBorder="1" applyAlignment="1">
      <alignment vertical="center" wrapText="1"/>
    </xf>
    <xf numFmtId="165" fontId="5" fillId="0" borderId="0" xfId="1" applyFont="1" applyFill="1" applyBorder="1" applyAlignment="1">
      <alignment vertical="center" wrapText="1"/>
    </xf>
    <xf numFmtId="0" fontId="8" fillId="0" borderId="22" xfId="0" applyFont="1" applyBorder="1" applyAlignment="1">
      <alignment horizontal="center" vertical="center" wrapText="1"/>
    </xf>
    <xf numFmtId="0" fontId="8" fillId="11" borderId="23" xfId="0" applyFont="1" applyFill="1" applyBorder="1" applyAlignment="1">
      <alignment vertical="center" wrapText="1"/>
    </xf>
    <xf numFmtId="0" fontId="8" fillId="0" borderId="23" xfId="0" applyFont="1" applyBorder="1" applyAlignment="1">
      <alignment vertical="center" wrapText="1"/>
    </xf>
    <xf numFmtId="165" fontId="8" fillId="0" borderId="1" xfId="1" applyFont="1" applyFill="1" applyBorder="1" applyAlignment="1">
      <alignment vertical="center" wrapText="1"/>
    </xf>
    <xf numFmtId="165" fontId="5" fillId="0" borderId="23" xfId="1" applyFont="1" applyBorder="1" applyAlignment="1">
      <alignment horizontal="center" vertical="center" wrapText="1"/>
    </xf>
    <xf numFmtId="165" fontId="5" fillId="0" borderId="0" xfId="1" applyFont="1" applyFill="1" applyAlignment="1">
      <alignment vertical="center" wrapText="1"/>
    </xf>
    <xf numFmtId="0" fontId="8" fillId="0" borderId="23" xfId="0" applyFont="1" applyBorder="1" applyAlignment="1">
      <alignment horizontal="center" vertical="center" wrapText="1"/>
    </xf>
    <xf numFmtId="165" fontId="8" fillId="0" borderId="23" xfId="1" applyFont="1" applyBorder="1" applyAlignment="1">
      <alignment horizontal="center" vertical="center" wrapText="1"/>
    </xf>
    <xf numFmtId="166" fontId="8" fillId="0" borderId="25" xfId="0" applyNumberFormat="1" applyFont="1" applyBorder="1" applyAlignment="1">
      <alignment horizontal="center" vertical="center" wrapText="1"/>
    </xf>
    <xf numFmtId="165" fontId="8" fillId="0" borderId="0" xfId="1" applyFont="1" applyFill="1" applyBorder="1" applyAlignment="1">
      <alignment vertical="center" wrapText="1"/>
    </xf>
    <xf numFmtId="0" fontId="39" fillId="5" borderId="22" xfId="0" applyFont="1" applyFill="1" applyBorder="1" applyAlignment="1">
      <alignment horizontal="center" vertical="center" wrapText="1"/>
    </xf>
    <xf numFmtId="0" fontId="6" fillId="5" borderId="23" xfId="0" applyFont="1" applyFill="1" applyBorder="1" applyAlignment="1">
      <alignment vertical="center" wrapText="1"/>
    </xf>
    <xf numFmtId="0" fontId="6" fillId="5" borderId="23" xfId="0" applyFont="1" applyFill="1" applyBorder="1" applyAlignment="1">
      <alignment horizontal="center" vertical="center" wrapText="1"/>
    </xf>
    <xf numFmtId="165" fontId="6" fillId="5" borderId="23" xfId="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vertical="center" wrapText="1"/>
    </xf>
    <xf numFmtId="0" fontId="5" fillId="0" borderId="28" xfId="0" applyFont="1" applyBorder="1" applyAlignment="1">
      <alignment horizontal="center" vertical="center" wrapText="1"/>
    </xf>
    <xf numFmtId="165" fontId="5" fillId="0" borderId="28" xfId="1" applyFont="1" applyBorder="1" applyAlignment="1">
      <alignment horizontal="center" vertical="center" wrapText="1"/>
    </xf>
    <xf numFmtId="0" fontId="5" fillId="0" borderId="29" xfId="0" applyFont="1" applyBorder="1" applyAlignment="1">
      <alignment vertical="center" wrapText="1"/>
    </xf>
    <xf numFmtId="165" fontId="8" fillId="0" borderId="0" xfId="1" applyFont="1" applyAlignment="1">
      <alignment vertical="center"/>
    </xf>
    <xf numFmtId="0" fontId="8" fillId="0" borderId="0" xfId="0" applyFont="1" applyAlignment="1">
      <alignment horizontal="center" vertical="center" wrapText="1"/>
    </xf>
    <xf numFmtId="165" fontId="5" fillId="0" borderId="0" xfId="1" applyFont="1" applyAlignment="1">
      <alignment horizontal="center" vertical="center"/>
    </xf>
    <xf numFmtId="165" fontId="5" fillId="0" borderId="0" xfId="1"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23" xfId="1" applyNumberFormat="1" applyFont="1" applyBorder="1" applyAlignment="1">
      <alignment horizontal="center" vertical="center" wrapText="1"/>
    </xf>
    <xf numFmtId="165" fontId="6" fillId="5" borderId="25" xfId="1" applyFont="1" applyFill="1" applyBorder="1" applyAlignment="1">
      <alignment horizontal="center" vertical="center" wrapText="1"/>
    </xf>
    <xf numFmtId="0" fontId="32" fillId="0" borderId="0" xfId="0" applyFont="1" applyAlignment="1">
      <alignment vertical="center" wrapText="1"/>
    </xf>
    <xf numFmtId="165" fontId="32" fillId="45" borderId="1" xfId="1" applyFont="1" applyFill="1" applyBorder="1" applyAlignment="1">
      <alignment vertical="center" wrapText="1"/>
    </xf>
    <xf numFmtId="2" fontId="32" fillId="0" borderId="0" xfId="0" applyNumberFormat="1" applyFont="1" applyAlignment="1">
      <alignment vertical="center" wrapText="1"/>
    </xf>
    <xf numFmtId="165" fontId="35" fillId="0" borderId="1" xfId="1" applyFont="1" applyFill="1" applyBorder="1" applyAlignment="1">
      <alignment horizontal="center" vertical="center" wrapText="1"/>
    </xf>
    <xf numFmtId="165" fontId="32" fillId="45" borderId="1" xfId="1" applyFont="1" applyFill="1" applyBorder="1" applyAlignment="1">
      <alignment horizontal="center" vertical="center" wrapText="1"/>
    </xf>
    <xf numFmtId="2" fontId="35" fillId="4" borderId="1" xfId="0" applyNumberFormat="1" applyFont="1" applyFill="1" applyBorder="1" applyAlignment="1">
      <alignment horizontal="center" vertical="center" wrapText="1"/>
    </xf>
    <xf numFmtId="165" fontId="35" fillId="4" borderId="1" xfId="1" applyFont="1" applyFill="1" applyBorder="1" applyAlignment="1">
      <alignment horizontal="center" vertical="center" wrapText="1"/>
    </xf>
    <xf numFmtId="0" fontId="32" fillId="0" borderId="0" xfId="0" applyFont="1" applyAlignment="1">
      <alignment horizontal="center" vertical="center" wrapText="1"/>
    </xf>
    <xf numFmtId="2" fontId="35" fillId="3" borderId="1" xfId="0" applyNumberFormat="1" applyFont="1" applyFill="1" applyBorder="1" applyAlignment="1">
      <alignment horizontal="center" vertical="center" wrapText="1"/>
    </xf>
    <xf numFmtId="2" fontId="35" fillId="3" borderId="1" xfId="0" applyNumberFormat="1" applyFont="1" applyFill="1" applyBorder="1" applyAlignment="1">
      <alignment horizontal="left" vertical="center" wrapText="1"/>
    </xf>
    <xf numFmtId="2" fontId="35" fillId="45" borderId="1" xfId="0" applyNumberFormat="1" applyFont="1" applyFill="1" applyBorder="1" applyAlignment="1">
      <alignment horizontal="center" vertical="center" wrapText="1"/>
    </xf>
    <xf numFmtId="165" fontId="35" fillId="45" borderId="1" xfId="1" applyFont="1" applyFill="1" applyBorder="1" applyAlignment="1">
      <alignment horizontal="center" vertical="center" wrapText="1"/>
    </xf>
    <xf numFmtId="1" fontId="32" fillId="45" borderId="1" xfId="0" applyNumberFormat="1" applyFont="1" applyFill="1" applyBorder="1" applyAlignment="1">
      <alignment horizontal="center" vertical="center" wrapText="1"/>
    </xf>
    <xf numFmtId="1" fontId="32" fillId="45" borderId="1" xfId="0" applyNumberFormat="1" applyFont="1" applyFill="1" applyBorder="1" applyAlignment="1">
      <alignment horizontal="left" vertical="center" wrapText="1"/>
    </xf>
    <xf numFmtId="2" fontId="32" fillId="45" borderId="1" xfId="0" applyNumberFormat="1" applyFont="1" applyFill="1" applyBorder="1" applyAlignment="1">
      <alignment horizontal="center" vertical="center" wrapText="1"/>
    </xf>
    <xf numFmtId="165" fontId="32" fillId="0" borderId="1" xfId="1" applyFont="1" applyFill="1" applyBorder="1" applyAlignment="1">
      <alignment horizontal="center" vertical="center" wrapText="1"/>
    </xf>
    <xf numFmtId="165" fontId="32" fillId="45" borderId="1" xfId="1" applyFont="1" applyFill="1" applyBorder="1" applyAlignment="1">
      <alignment horizontal="right" vertical="center" wrapText="1"/>
    </xf>
    <xf numFmtId="165" fontId="32" fillId="45" borderId="1" xfId="1" applyFont="1" applyFill="1" applyBorder="1" applyAlignment="1">
      <alignment horizontal="left" vertical="center" wrapText="1"/>
    </xf>
    <xf numFmtId="1" fontId="0" fillId="45" borderId="1" xfId="0" applyNumberFormat="1" applyFill="1" applyBorder="1" applyAlignment="1">
      <alignment horizontal="left" vertical="center" wrapText="1"/>
    </xf>
    <xf numFmtId="165" fontId="0" fillId="0" borderId="1" xfId="1" applyFont="1" applyFill="1" applyBorder="1" applyAlignment="1">
      <alignment horizontal="right" vertical="center"/>
    </xf>
    <xf numFmtId="1" fontId="35" fillId="45" borderId="1" xfId="0" applyNumberFormat="1" applyFont="1" applyFill="1" applyBorder="1" applyAlignment="1">
      <alignment horizontal="center" vertical="center" wrapText="1"/>
    </xf>
    <xf numFmtId="1" fontId="35" fillId="45" borderId="1" xfId="0" applyNumberFormat="1" applyFont="1" applyFill="1" applyBorder="1" applyAlignment="1">
      <alignment horizontal="left" vertical="center" wrapText="1"/>
    </xf>
    <xf numFmtId="165" fontId="32" fillId="0" borderId="0" xfId="1" applyFont="1" applyBorder="1" applyAlignment="1">
      <alignment horizontal="center" vertical="center" wrapText="1"/>
    </xf>
    <xf numFmtId="0" fontId="0" fillId="0" borderId="0" xfId="0" applyAlignment="1">
      <alignment horizontal="center"/>
    </xf>
    <xf numFmtId="165" fontId="0" fillId="0" borderId="0" xfId="0" applyNumberFormat="1"/>
    <xf numFmtId="0" fontId="58" fillId="0" borderId="0" xfId="91" applyFont="1"/>
    <xf numFmtId="0" fontId="58" fillId="0" borderId="0" xfId="91" applyFont="1" applyAlignment="1">
      <alignment vertical="center"/>
    </xf>
    <xf numFmtId="0" fontId="57" fillId="0" borderId="0" xfId="91" applyFont="1"/>
    <xf numFmtId="165" fontId="35" fillId="4" borderId="1" xfId="1" applyFont="1" applyFill="1" applyBorder="1" applyAlignment="1">
      <alignment horizontal="left" vertical="center" wrapText="1"/>
    </xf>
    <xf numFmtId="165" fontId="35" fillId="45" borderId="1" xfId="1" applyFont="1" applyFill="1" applyBorder="1" applyAlignment="1">
      <alignment horizontal="left" vertical="center" wrapText="1"/>
    </xf>
    <xf numFmtId="165" fontId="32" fillId="0" borderId="0" xfId="1" applyFont="1" applyBorder="1" applyAlignment="1">
      <alignment horizontal="left" vertical="center" wrapText="1"/>
    </xf>
    <xf numFmtId="0" fontId="5" fillId="0" borderId="71" xfId="0" applyFont="1" applyBorder="1" applyAlignment="1">
      <alignment horizontal="center" vertical="center" wrapText="1"/>
    </xf>
    <xf numFmtId="0" fontId="5" fillId="0" borderId="71" xfId="0" applyFont="1" applyBorder="1" applyAlignment="1">
      <alignment vertical="center" wrapText="1"/>
    </xf>
    <xf numFmtId="2" fontId="5" fillId="0" borderId="71" xfId="0" applyNumberFormat="1" applyFont="1" applyBorder="1" applyAlignment="1">
      <alignment horizontal="center" vertical="center" wrapText="1"/>
    </xf>
    <xf numFmtId="165" fontId="5" fillId="0" borderId="71" xfId="1" applyFont="1" applyBorder="1" applyAlignment="1">
      <alignment horizontal="center" vertical="center" wrapText="1"/>
    </xf>
    <xf numFmtId="0" fontId="5" fillId="0" borderId="71" xfId="0" applyFont="1" applyBorder="1" applyAlignment="1">
      <alignment horizontal="center" wrapText="1"/>
    </xf>
    <xf numFmtId="165" fontId="5" fillId="0" borderId="71" xfId="1" applyFont="1" applyBorder="1" applyAlignment="1">
      <alignment vertical="center" wrapText="1"/>
    </xf>
    <xf numFmtId="165" fontId="6" fillId="7" borderId="71" xfId="1" applyFont="1" applyFill="1" applyBorder="1" applyAlignment="1">
      <alignment horizontal="center" vertical="center" wrapText="1"/>
    </xf>
    <xf numFmtId="165" fontId="5" fillId="4" borderId="71" xfId="1" applyFont="1" applyFill="1" applyBorder="1" applyAlignment="1">
      <alignment horizontal="center" wrapText="1"/>
    </xf>
    <xf numFmtId="0" fontId="5" fillId="0" borderId="71" xfId="1" applyNumberFormat="1" applyFont="1" applyBorder="1" applyAlignment="1">
      <alignment horizontal="center" wrapText="1"/>
    </xf>
    <xf numFmtId="0" fontId="5" fillId="0" borderId="71" xfId="1" applyNumberFormat="1" applyFont="1" applyFill="1" applyBorder="1" applyAlignment="1">
      <alignment horizontal="center" wrapText="1"/>
    </xf>
    <xf numFmtId="165" fontId="5" fillId="0" borderId="71" xfId="1" applyFont="1" applyFill="1" applyBorder="1" applyAlignment="1">
      <alignment vertical="center" wrapText="1"/>
    </xf>
    <xf numFmtId="165" fontId="0" fillId="0" borderId="71" xfId="1" applyFont="1" applyFill="1" applyBorder="1" applyAlignment="1">
      <alignment horizontal="right" vertical="center"/>
    </xf>
    <xf numFmtId="165" fontId="32" fillId="8" borderId="1" xfId="1" applyFont="1" applyFill="1" applyBorder="1" applyAlignment="1">
      <alignment horizontal="left" vertical="center" wrapText="1"/>
    </xf>
    <xf numFmtId="2" fontId="0" fillId="0" borderId="71" xfId="0" applyNumberFormat="1" applyBorder="1" applyAlignment="1">
      <alignment horizontal="center" vertical="center" wrapText="1"/>
    </xf>
    <xf numFmtId="0" fontId="0" fillId="0" borderId="71" xfId="0" applyBorder="1" applyAlignment="1">
      <alignment vertical="center" wrapText="1"/>
    </xf>
    <xf numFmtId="165" fontId="0" fillId="0" borderId="71" xfId="1" applyFont="1" applyBorder="1" applyAlignment="1">
      <alignment horizontal="center" vertical="center" wrapText="1"/>
    </xf>
    <xf numFmtId="165" fontId="5" fillId="4"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0" fillId="4" borderId="1" xfId="1" applyFont="1" applyFill="1" applyBorder="1" applyAlignment="1">
      <alignment horizontal="center" vertical="center" wrapText="1"/>
    </xf>
    <xf numFmtId="165" fontId="0" fillId="0" borderId="71" xfId="1" applyFont="1" applyBorder="1" applyAlignment="1">
      <alignment vertical="center" wrapText="1"/>
    </xf>
    <xf numFmtId="167" fontId="5" fillId="0" borderId="23" xfId="0" applyNumberFormat="1" applyFont="1" applyBorder="1" applyAlignment="1">
      <alignment horizontal="center" vertical="center" wrapText="1"/>
    </xf>
    <xf numFmtId="165" fontId="0" fillId="0" borderId="25" xfId="1" applyFont="1" applyFill="1" applyBorder="1" applyAlignment="1">
      <alignment horizontal="center" vertical="center" wrapText="1"/>
    </xf>
    <xf numFmtId="0" fontId="59" fillId="0" borderId="75" xfId="95" applyFont="1" applyBorder="1" applyAlignment="1">
      <alignment horizontal="center" vertical="center" wrapText="1"/>
    </xf>
    <xf numFmtId="0" fontId="59" fillId="0" borderId="71" xfId="95" applyFont="1" applyBorder="1" applyAlignment="1">
      <alignment horizontal="center" vertical="center" wrapText="1"/>
    </xf>
    <xf numFmtId="0" fontId="58" fillId="0" borderId="71" xfId="0" applyFont="1" applyBorder="1" applyAlignment="1">
      <alignment horizontal="left" vertical="center"/>
    </xf>
    <xf numFmtId="0" fontId="58" fillId="0" borderId="71" xfId="0" applyFont="1" applyBorder="1" applyAlignment="1">
      <alignment horizontal="left" vertical="center" wrapText="1"/>
    </xf>
    <xf numFmtId="0" fontId="58" fillId="0" borderId="71" xfId="0" applyFont="1" applyBorder="1" applyAlignment="1">
      <alignment horizontal="center" vertical="center"/>
    </xf>
    <xf numFmtId="165" fontId="58" fillId="0" borderId="71" xfId="191" applyFont="1" applyBorder="1" applyAlignment="1">
      <alignment horizontal="left" vertical="center"/>
    </xf>
    <xf numFmtId="0" fontId="58" fillId="9" borderId="71" xfId="0" applyFont="1" applyFill="1" applyBorder="1" applyAlignment="1">
      <alignment horizontal="center" vertical="center"/>
    </xf>
    <xf numFmtId="165" fontId="58" fillId="9" borderId="71" xfId="191" applyFont="1" applyFill="1" applyBorder="1" applyAlignment="1">
      <alignment horizontal="left" vertical="center"/>
    </xf>
    <xf numFmtId="0" fontId="58" fillId="0" borderId="74" xfId="0" applyFont="1" applyBorder="1" applyAlignment="1">
      <alignment horizontal="left" vertical="center"/>
    </xf>
    <xf numFmtId="165" fontId="59" fillId="9" borderId="71" xfId="128" applyFont="1" applyFill="1" applyBorder="1" applyAlignment="1">
      <alignment horizontal="center" vertical="center"/>
    </xf>
    <xf numFmtId="0" fontId="60" fillId="0" borderId="75" xfId="96" applyFont="1" applyBorder="1" applyAlignment="1">
      <alignment horizontal="center" vertical="center"/>
    </xf>
    <xf numFmtId="0" fontId="59" fillId="0" borderId="71" xfId="96" applyFont="1" applyBorder="1" applyAlignment="1">
      <alignment vertical="center" wrapText="1"/>
    </xf>
    <xf numFmtId="0" fontId="60" fillId="0" borderId="71" xfId="96" applyFont="1" applyBorder="1" applyAlignment="1">
      <alignment horizontal="center" vertical="center"/>
    </xf>
    <xf numFmtId="165" fontId="60" fillId="9" borderId="71" xfId="128" applyFont="1" applyFill="1" applyBorder="1" applyAlignment="1">
      <alignment horizontal="center" vertical="center"/>
    </xf>
    <xf numFmtId="0" fontId="60" fillId="0" borderId="71" xfId="96" applyFont="1" applyBorder="1" applyAlignment="1">
      <alignment vertical="center" wrapText="1"/>
    </xf>
    <xf numFmtId="0" fontId="60" fillId="0" borderId="75" xfId="95" applyFont="1" applyBorder="1" applyAlignment="1">
      <alignment horizontal="center" vertical="center"/>
    </xf>
    <xf numFmtId="0" fontId="59" fillId="0" borderId="71" xfId="95" applyFont="1" applyBorder="1" applyAlignment="1">
      <alignment vertical="center" wrapText="1"/>
    </xf>
    <xf numFmtId="0" fontId="60" fillId="0" borderId="71" xfId="95" applyFont="1" applyBorder="1" applyAlignment="1">
      <alignment horizontal="center" vertical="center"/>
    </xf>
    <xf numFmtId="165" fontId="60" fillId="9" borderId="71" xfId="128" applyFont="1" applyFill="1" applyBorder="1" applyAlignment="1">
      <alignment horizontal="right" vertical="center"/>
    </xf>
    <xf numFmtId="165" fontId="58" fillId="0" borderId="0" xfId="91" applyNumberFormat="1" applyFont="1"/>
    <xf numFmtId="0" fontId="60" fillId="0" borderId="71" xfId="95" applyFont="1" applyBorder="1" applyAlignment="1">
      <alignment vertical="center" wrapText="1"/>
    </xf>
    <xf numFmtId="165" fontId="61" fillId="9" borderId="71" xfId="128" applyFont="1" applyFill="1" applyBorder="1" applyAlignment="1">
      <alignment horizontal="right" vertical="center"/>
    </xf>
    <xf numFmtId="165" fontId="60" fillId="9" borderId="71" xfId="128" applyFont="1" applyFill="1" applyBorder="1" applyAlignment="1">
      <alignment vertical="center"/>
    </xf>
    <xf numFmtId="0" fontId="59" fillId="0" borderId="75" xfId="95" applyFont="1" applyBorder="1" applyAlignment="1">
      <alignment horizontal="center" vertical="center"/>
    </xf>
    <xf numFmtId="0" fontId="59" fillId="0" borderId="71" xfId="95" applyFont="1" applyBorder="1" applyAlignment="1">
      <alignment horizontal="right" vertical="center" wrapText="1"/>
    </xf>
    <xf numFmtId="0" fontId="59" fillId="0" borderId="71" xfId="95" applyFont="1" applyBorder="1" applyAlignment="1">
      <alignment horizontal="center" vertical="center"/>
    </xf>
    <xf numFmtId="165" fontId="59" fillId="9" borderId="71" xfId="128" applyFont="1" applyFill="1" applyBorder="1" applyAlignment="1">
      <alignment vertical="center"/>
    </xf>
    <xf numFmtId="165" fontId="58" fillId="9" borderId="71" xfId="128" applyFont="1" applyFill="1" applyBorder="1" applyAlignment="1">
      <alignment horizontal="right" vertical="center"/>
    </xf>
    <xf numFmtId="0" fontId="59" fillId="0" borderId="71" xfId="95" applyFont="1" applyBorder="1" applyAlignment="1">
      <alignment vertical="center"/>
    </xf>
    <xf numFmtId="0" fontId="59" fillId="0" borderId="76" xfId="95" applyFont="1" applyBorder="1" applyAlignment="1">
      <alignment horizontal="center" vertical="center"/>
    </xf>
    <xf numFmtId="0" fontId="59" fillId="0" borderId="77" xfId="95" applyFont="1" applyBorder="1" applyAlignment="1">
      <alignment horizontal="right" vertical="center" wrapText="1"/>
    </xf>
    <xf numFmtId="0" fontId="59" fillId="0" borderId="77" xfId="95" applyFont="1" applyBorder="1" applyAlignment="1">
      <alignment vertical="center"/>
    </xf>
    <xf numFmtId="165" fontId="59" fillId="0" borderId="77" xfId="128" applyFont="1" applyFill="1" applyBorder="1" applyAlignment="1">
      <alignment vertical="center"/>
    </xf>
    <xf numFmtId="0" fontId="59" fillId="0" borderId="0" xfId="95" applyFont="1" applyAlignment="1">
      <alignment horizontal="center" vertical="center"/>
    </xf>
    <xf numFmtId="0" fontId="59" fillId="0" borderId="0" xfId="95" applyFont="1" applyAlignment="1">
      <alignment horizontal="right" vertical="center" wrapText="1"/>
    </xf>
    <xf numFmtId="0" fontId="59" fillId="0" borderId="0" xfId="95" applyFont="1" applyAlignment="1">
      <alignment vertical="center"/>
    </xf>
    <xf numFmtId="165" fontId="59" fillId="0" borderId="0" xfId="128" applyFont="1" applyFill="1" applyBorder="1" applyAlignment="1">
      <alignment vertical="center"/>
    </xf>
    <xf numFmtId="165" fontId="5" fillId="4" borderId="71" xfId="1" applyFont="1" applyFill="1" applyBorder="1" applyAlignment="1">
      <alignment horizontal="center" vertical="center" wrapText="1"/>
    </xf>
    <xf numFmtId="165" fontId="0" fillId="4" borderId="71" xfId="1" applyFont="1" applyFill="1" applyBorder="1" applyAlignment="1">
      <alignment horizontal="center" vertical="center" wrapText="1"/>
    </xf>
    <xf numFmtId="165" fontId="2" fillId="0" borderId="71" xfId="1" applyFont="1" applyBorder="1" applyAlignment="1">
      <alignment vertical="center" wrapText="1"/>
    </xf>
    <xf numFmtId="165" fontId="2" fillId="9" borderId="71" xfId="1" applyFont="1" applyFill="1" applyBorder="1" applyAlignment="1">
      <alignment vertical="center" wrapText="1"/>
    </xf>
    <xf numFmtId="165" fontId="2" fillId="9" borderId="71" xfId="1" applyFont="1" applyFill="1" applyBorder="1" applyAlignment="1">
      <alignment horizontal="center" vertical="center" wrapText="1"/>
    </xf>
    <xf numFmtId="165" fontId="0" fillId="9" borderId="0" xfId="1" applyFont="1" applyFill="1" applyAlignment="1">
      <alignment horizontal="center" vertical="center" wrapText="1"/>
    </xf>
    <xf numFmtId="165" fontId="33" fillId="0" borderId="71" xfId="0" applyNumberFormat="1" applyFont="1" applyBorder="1" applyAlignment="1">
      <alignment vertical="center" wrapText="1"/>
    </xf>
    <xf numFmtId="0" fontId="33" fillId="0" borderId="71" xfId="0" applyFont="1" applyBorder="1" applyAlignment="1">
      <alignment vertical="center" wrapText="1"/>
    </xf>
    <xf numFmtId="165" fontId="6" fillId="11" borderId="71" xfId="1" applyFont="1" applyFill="1" applyBorder="1" applyAlignment="1">
      <alignment horizontal="center" vertical="center" wrapText="1"/>
    </xf>
    <xf numFmtId="0" fontId="2" fillId="0" borderId="71" xfId="0" applyFont="1" applyBorder="1" applyAlignment="1">
      <alignment horizontal="center" vertical="center" wrapText="1"/>
    </xf>
    <xf numFmtId="43" fontId="0" fillId="0" borderId="0" xfId="0" applyNumberFormat="1" applyAlignment="1">
      <alignment vertical="center" wrapText="1"/>
    </xf>
    <xf numFmtId="0" fontId="0" fillId="4" borderId="71" xfId="0" applyFill="1" applyBorder="1" applyAlignment="1">
      <alignment horizontal="center" vertical="center" wrapText="1"/>
    </xf>
    <xf numFmtId="2" fontId="32" fillId="72" borderId="16" xfId="95" applyNumberFormat="1"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88" xfId="0" applyFont="1" applyBorder="1" applyAlignment="1">
      <alignment horizontal="center" vertical="center" wrapText="1"/>
    </xf>
    <xf numFmtId="0" fontId="5" fillId="0" borderId="88" xfId="0" applyFont="1" applyBorder="1" applyAlignment="1">
      <alignment vertical="center" wrapText="1"/>
    </xf>
    <xf numFmtId="2" fontId="5" fillId="0" borderId="88" xfId="0" applyNumberFormat="1" applyFont="1" applyBorder="1" applyAlignment="1">
      <alignment horizontal="center" vertical="center" wrapText="1"/>
    </xf>
    <xf numFmtId="165" fontId="5" fillId="0" borderId="88" xfId="1" applyFont="1" applyFill="1" applyBorder="1" applyAlignment="1">
      <alignment horizontal="center" vertical="center" wrapText="1"/>
    </xf>
    <xf numFmtId="0" fontId="5" fillId="2" borderId="88" xfId="0" applyFont="1" applyFill="1" applyBorder="1" applyAlignment="1">
      <alignment vertical="center" wrapText="1"/>
    </xf>
    <xf numFmtId="165" fontId="5" fillId="0" borderId="88" xfId="1" applyFont="1" applyBorder="1" applyAlignment="1">
      <alignment horizontal="center" vertical="center" wrapText="1"/>
    </xf>
    <xf numFmtId="0" fontId="5" fillId="0" borderId="88" xfId="1" applyNumberFormat="1" applyFont="1" applyBorder="1" applyAlignment="1">
      <alignment horizontal="center" wrapText="1"/>
    </xf>
    <xf numFmtId="0" fontId="5" fillId="0" borderId="88" xfId="1" applyNumberFormat="1" applyFont="1" applyFill="1" applyBorder="1" applyAlignment="1">
      <alignment horizontal="center" wrapText="1"/>
    </xf>
    <xf numFmtId="165" fontId="5" fillId="0" borderId="88" xfId="1" applyFont="1" applyFill="1" applyBorder="1" applyAlignment="1">
      <alignment vertical="center" wrapText="1"/>
    </xf>
    <xf numFmtId="165" fontId="5" fillId="0" borderId="88" xfId="1" applyFont="1" applyBorder="1" applyAlignment="1">
      <alignment vertical="center" wrapText="1"/>
    </xf>
    <xf numFmtId="165" fontId="8" fillId="0" borderId="71" xfId="1" applyFont="1" applyBorder="1" applyAlignment="1">
      <alignment vertical="center" wrapText="1"/>
    </xf>
    <xf numFmtId="165" fontId="8" fillId="9" borderId="71" xfId="1" applyFont="1" applyFill="1" applyBorder="1" applyAlignment="1">
      <alignment vertical="center" wrapText="1"/>
    </xf>
    <xf numFmtId="165" fontId="8" fillId="9" borderId="71" xfId="1" applyFont="1" applyFill="1" applyBorder="1" applyAlignment="1">
      <alignment horizontal="center" vertical="center" wrapText="1"/>
    </xf>
    <xf numFmtId="0" fontId="5" fillId="9" borderId="0" xfId="0" applyFont="1" applyFill="1" applyAlignment="1">
      <alignment vertical="center" wrapText="1"/>
    </xf>
    <xf numFmtId="165" fontId="5" fillId="9" borderId="0" xfId="1" applyFont="1" applyFill="1" applyAlignment="1">
      <alignment horizontal="center" vertical="center" wrapText="1"/>
    </xf>
    <xf numFmtId="165" fontId="8" fillId="0" borderId="0" xfId="1" applyFont="1" applyAlignment="1">
      <alignment vertical="center" wrapText="1"/>
    </xf>
    <xf numFmtId="0" fontId="5" fillId="0" borderId="0" xfId="1" applyNumberFormat="1" applyFont="1" applyAlignment="1">
      <alignment vertical="center" wrapText="1"/>
    </xf>
    <xf numFmtId="165" fontId="8" fillId="0" borderId="0" xfId="1" applyFont="1" applyAlignment="1">
      <alignment horizontal="center" vertical="center" wrapText="1"/>
    </xf>
    <xf numFmtId="165" fontId="8" fillId="2" borderId="0" xfId="1" applyFont="1" applyFill="1" applyAlignment="1">
      <alignment vertical="center" wrapText="1"/>
    </xf>
    <xf numFmtId="165" fontId="6" fillId="0" borderId="71" xfId="0" applyNumberFormat="1" applyFont="1" applyBorder="1" applyAlignment="1">
      <alignment vertical="center" wrapText="1"/>
    </xf>
    <xf numFmtId="0" fontId="6" fillId="0" borderId="71" xfId="0" applyFont="1" applyBorder="1" applyAlignment="1">
      <alignment vertical="center" wrapText="1"/>
    </xf>
    <xf numFmtId="0" fontId="8" fillId="0" borderId="71" xfId="0" applyFont="1" applyBorder="1" applyAlignment="1">
      <alignment horizontal="center" vertical="center" wrapText="1"/>
    </xf>
    <xf numFmtId="165" fontId="5" fillId="2" borderId="0" xfId="1" applyFont="1" applyFill="1" applyAlignment="1">
      <alignment vertical="center" wrapText="1"/>
    </xf>
    <xf numFmtId="43" fontId="5" fillId="0" borderId="0" xfId="0" applyNumberFormat="1" applyFont="1" applyAlignment="1">
      <alignment vertical="center" wrapText="1"/>
    </xf>
    <xf numFmtId="0" fontId="8" fillId="0" borderId="16" xfId="0" applyFont="1" applyBorder="1" applyAlignment="1">
      <alignment vertical="center" wrapText="1"/>
    </xf>
    <xf numFmtId="165" fontId="5" fillId="0" borderId="71" xfId="1" applyFont="1" applyFill="1" applyBorder="1" applyAlignment="1">
      <alignment horizontal="center" vertical="center" wrapText="1"/>
    </xf>
    <xf numFmtId="0" fontId="8" fillId="0" borderId="88" xfId="0" applyFont="1" applyBorder="1" applyAlignment="1">
      <alignment vertical="center" wrapText="1"/>
    </xf>
    <xf numFmtId="0" fontId="5" fillId="0" borderId="1" xfId="1" applyNumberFormat="1" applyFont="1" applyBorder="1" applyAlignment="1">
      <alignment horizontal="center" vertical="center" wrapText="1"/>
    </xf>
    <xf numFmtId="165" fontId="5" fillId="2" borderId="88" xfId="1" applyFont="1" applyFill="1" applyBorder="1" applyAlignment="1">
      <alignment horizontal="center" vertical="center" wrapText="1"/>
    </xf>
    <xf numFmtId="165" fontId="5" fillId="6" borderId="88" xfId="1" applyFont="1" applyFill="1" applyBorder="1" applyAlignment="1">
      <alignment horizontal="center" vertical="center" wrapText="1"/>
    </xf>
    <xf numFmtId="165" fontId="5" fillId="7" borderId="88" xfId="1" applyFont="1" applyFill="1" applyBorder="1" applyAlignment="1">
      <alignment horizontal="center" vertical="center" wrapText="1"/>
    </xf>
    <xf numFmtId="165" fontId="5" fillId="2" borderId="88" xfId="1" applyFont="1" applyFill="1" applyBorder="1" applyAlignment="1">
      <alignment vertical="center" wrapText="1"/>
    </xf>
    <xf numFmtId="0" fontId="5" fillId="0" borderId="88" xfId="1" applyNumberFormat="1" applyFont="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vertical="center" wrapText="1"/>
    </xf>
    <xf numFmtId="2" fontId="39" fillId="0" borderId="1" xfId="0" applyNumberFormat="1" applyFont="1" applyBorder="1" applyAlignment="1">
      <alignment horizontal="center" vertical="center" wrapText="1"/>
    </xf>
    <xf numFmtId="165" fontId="39" fillId="0" borderId="1" xfId="1" applyFont="1" applyBorder="1" applyAlignment="1">
      <alignment horizontal="center" vertical="center" wrapText="1"/>
    </xf>
    <xf numFmtId="165" fontId="39" fillId="2" borderId="1" xfId="1" applyFont="1" applyFill="1" applyBorder="1" applyAlignment="1">
      <alignment horizontal="center" vertical="center" wrapText="1"/>
    </xf>
    <xf numFmtId="165" fontId="39" fillId="6" borderId="1" xfId="1" applyFont="1" applyFill="1" applyBorder="1" applyAlignment="1">
      <alignment horizontal="center" vertical="center" wrapText="1"/>
    </xf>
    <xf numFmtId="165" fontId="39" fillId="7" borderId="1" xfId="1" applyFont="1" applyFill="1" applyBorder="1" applyAlignment="1">
      <alignment horizontal="center" vertical="center" wrapText="1"/>
    </xf>
    <xf numFmtId="0" fontId="39" fillId="2" borderId="1" xfId="0" applyFont="1" applyFill="1" applyBorder="1" applyAlignment="1">
      <alignment vertical="center" wrapText="1"/>
    </xf>
    <xf numFmtId="165" fontId="39" fillId="2" borderId="1" xfId="1" applyFont="1" applyFill="1" applyBorder="1" applyAlignment="1">
      <alignment vertical="center" wrapText="1"/>
    </xf>
    <xf numFmtId="0" fontId="39" fillId="0" borderId="1" xfId="1" applyNumberFormat="1" applyFont="1" applyBorder="1" applyAlignment="1">
      <alignment horizontal="center" vertical="center" wrapText="1"/>
    </xf>
    <xf numFmtId="0" fontId="39" fillId="0" borderId="0" xfId="0" applyFont="1" applyAlignment="1">
      <alignment vertical="center" wrapText="1"/>
    </xf>
    <xf numFmtId="165" fontId="39" fillId="0" borderId="71" xfId="1" applyFont="1" applyBorder="1" applyAlignment="1">
      <alignment vertical="center" wrapText="1"/>
    </xf>
    <xf numFmtId="165" fontId="39" fillId="0" borderId="71" xfId="1" applyFont="1" applyBorder="1" applyAlignment="1">
      <alignment horizontal="center" vertical="center" wrapText="1"/>
    </xf>
    <xf numFmtId="0" fontId="5" fillId="8" borderId="16" xfId="0" applyFont="1" applyFill="1" applyBorder="1" applyAlignment="1">
      <alignment horizontal="center" vertical="center" wrapText="1"/>
    </xf>
    <xf numFmtId="2" fontId="39" fillId="0" borderId="16" xfId="0" applyNumberFormat="1" applyFont="1" applyBorder="1" applyAlignment="1">
      <alignment horizontal="center" vertical="center" wrapText="1"/>
    </xf>
    <xf numFmtId="2" fontId="39" fillId="2" borderId="1" xfId="0" applyNumberFormat="1" applyFont="1" applyFill="1" applyBorder="1" applyAlignment="1">
      <alignment horizontal="center" vertical="center" wrapText="1"/>
    </xf>
    <xf numFmtId="165" fontId="39" fillId="0" borderId="71" xfId="1" applyFont="1" applyFill="1" applyBorder="1" applyAlignment="1">
      <alignment vertical="center" wrapText="1"/>
    </xf>
    <xf numFmtId="165" fontId="8" fillId="0" borderId="2" xfId="1" applyFont="1" applyBorder="1" applyAlignment="1">
      <alignment horizontal="center" vertical="center" wrapText="1"/>
    </xf>
    <xf numFmtId="0" fontId="8" fillId="0" borderId="2" xfId="0" applyFont="1" applyBorder="1" applyAlignment="1">
      <alignment vertical="center" wrapText="1"/>
    </xf>
    <xf numFmtId="165" fontId="5" fillId="4" borderId="1" xfId="1" applyFont="1" applyFill="1" applyBorder="1" applyAlignment="1">
      <alignment horizontal="center" wrapText="1"/>
    </xf>
    <xf numFmtId="0" fontId="8" fillId="0" borderId="1" xfId="0" applyFont="1" applyBorder="1" applyAlignment="1">
      <alignment horizontal="center" vertical="center" wrapText="1"/>
    </xf>
    <xf numFmtId="0" fontId="5" fillId="0" borderId="1" xfId="1" applyNumberFormat="1" applyFont="1" applyBorder="1" applyAlignment="1">
      <alignment vertical="center" wrapText="1"/>
    </xf>
    <xf numFmtId="165" fontId="5" fillId="2" borderId="16" xfId="1" applyFont="1" applyFill="1" applyBorder="1" applyAlignment="1">
      <alignment horizontal="center" vertical="center" wrapText="1"/>
    </xf>
    <xf numFmtId="165" fontId="5" fillId="6" borderId="16" xfId="1" applyFont="1" applyFill="1" applyBorder="1" applyAlignment="1">
      <alignment horizontal="center" vertical="center" wrapText="1"/>
    </xf>
    <xf numFmtId="165" fontId="5" fillId="7" borderId="16" xfId="1" applyFont="1" applyFill="1" applyBorder="1" applyAlignment="1">
      <alignment horizontal="center" vertical="center" wrapText="1"/>
    </xf>
    <xf numFmtId="165" fontId="5" fillId="2" borderId="16" xfId="1"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2" fontId="5" fillId="3" borderId="1" xfId="0" applyNumberFormat="1" applyFont="1" applyFill="1" applyBorder="1" applyAlignment="1">
      <alignment horizontal="center" vertical="center" wrapText="1"/>
    </xf>
    <xf numFmtId="165" fontId="5" fillId="3" borderId="1" xfId="1" applyFont="1" applyFill="1" applyBorder="1" applyAlignment="1">
      <alignment horizontal="center" vertical="center" wrapText="1"/>
    </xf>
    <xf numFmtId="0" fontId="8" fillId="0" borderId="0" xfId="0" applyFont="1" applyAlignment="1">
      <alignment horizontal="left" vertical="center" wrapText="1"/>
    </xf>
    <xf numFmtId="2" fontId="5" fillId="9" borderId="0" xfId="0" applyNumberFormat="1" applyFont="1" applyFill="1" applyAlignment="1">
      <alignment horizontal="center" vertical="center" wrapText="1"/>
    </xf>
    <xf numFmtId="165" fontId="5" fillId="9" borderId="0" xfId="1" applyFont="1" applyFill="1" applyBorder="1" applyAlignment="1">
      <alignment horizontal="center" vertical="center" wrapText="1"/>
    </xf>
    <xf numFmtId="165" fontId="5" fillId="9" borderId="0" xfId="1" applyFont="1" applyFill="1" applyAlignment="1">
      <alignment vertical="center" wrapText="1"/>
    </xf>
    <xf numFmtId="0" fontId="8" fillId="3" borderId="1" xfId="0" applyFont="1" applyFill="1" applyBorder="1" applyAlignment="1">
      <alignment vertical="center" wrapText="1"/>
    </xf>
    <xf numFmtId="0" fontId="8" fillId="0" borderId="88" xfId="0" applyFont="1" applyBorder="1" applyAlignment="1">
      <alignment horizontal="center" vertical="center" wrapText="1"/>
    </xf>
    <xf numFmtId="0" fontId="5" fillId="0" borderId="88" xfId="1" applyNumberFormat="1" applyFont="1" applyBorder="1" applyAlignment="1">
      <alignment vertical="center" wrapText="1"/>
    </xf>
    <xf numFmtId="165" fontId="5" fillId="4" borderId="16" xfId="1" applyFont="1" applyFill="1" applyBorder="1" applyAlignment="1">
      <alignment horizontal="center" vertical="center" wrapText="1"/>
    </xf>
    <xf numFmtId="0" fontId="39" fillId="0" borderId="16" xfId="0" applyFont="1" applyBorder="1" applyAlignment="1">
      <alignment horizontal="center" vertical="center" wrapText="1"/>
    </xf>
    <xf numFmtId="165" fontId="39" fillId="0" borderId="16" xfId="1" applyFont="1" applyFill="1" applyBorder="1" applyAlignment="1">
      <alignment horizontal="center" vertical="center" wrapText="1"/>
    </xf>
    <xf numFmtId="2" fontId="39" fillId="2" borderId="16" xfId="0" applyNumberFormat="1" applyFont="1" applyFill="1" applyBorder="1" applyAlignment="1">
      <alignment horizontal="center" vertical="center" wrapText="1"/>
    </xf>
    <xf numFmtId="2" fontId="39" fillId="6" borderId="16" xfId="0" applyNumberFormat="1" applyFont="1" applyFill="1" applyBorder="1" applyAlignment="1">
      <alignment horizontal="center" vertical="center" wrapText="1"/>
    </xf>
    <xf numFmtId="2" fontId="39" fillId="7" borderId="16" xfId="0" applyNumberFormat="1" applyFont="1" applyFill="1" applyBorder="1" applyAlignment="1">
      <alignment horizontal="center" vertical="center" wrapText="1"/>
    </xf>
    <xf numFmtId="0" fontId="39" fillId="2" borderId="16" xfId="0" applyFont="1" applyFill="1" applyBorder="1" applyAlignment="1">
      <alignment vertical="center" wrapText="1"/>
    </xf>
    <xf numFmtId="165" fontId="39" fillId="0" borderId="16" xfId="1" applyFont="1" applyBorder="1" applyAlignment="1">
      <alignment horizontal="center" vertical="center" wrapText="1"/>
    </xf>
    <xf numFmtId="0" fontId="39" fillId="0" borderId="71" xfId="1" applyNumberFormat="1" applyFont="1" applyBorder="1" applyAlignment="1">
      <alignment horizontal="center" wrapText="1"/>
    </xf>
    <xf numFmtId="0" fontId="2" fillId="0" borderId="88" xfId="0" applyFont="1" applyBorder="1" applyAlignment="1">
      <alignment horizontal="center" vertical="center" wrapText="1"/>
    </xf>
    <xf numFmtId="0" fontId="0" fillId="0" borderId="88" xfId="0" applyBorder="1" applyAlignment="1">
      <alignment horizontal="center" vertical="center" wrapText="1"/>
    </xf>
    <xf numFmtId="165" fontId="0" fillId="0" borderId="88" xfId="1" applyFont="1" applyBorder="1" applyAlignment="1">
      <alignment vertical="center" wrapText="1"/>
    </xf>
    <xf numFmtId="0" fontId="2" fillId="0" borderId="88" xfId="0" applyFont="1" applyBorder="1" applyAlignment="1">
      <alignment horizontal="left" vertical="center" wrapText="1"/>
    </xf>
    <xf numFmtId="166" fontId="2" fillId="0" borderId="88" xfId="0" applyNumberFormat="1" applyFont="1" applyBorder="1" applyAlignment="1">
      <alignment horizontal="center" vertical="center" wrapText="1"/>
    </xf>
    <xf numFmtId="165" fontId="8" fillId="0" borderId="0" xfId="1" applyFont="1" applyBorder="1" applyAlignment="1">
      <alignment vertical="center" wrapText="1"/>
    </xf>
    <xf numFmtId="165" fontId="5" fillId="0" borderId="16" xfId="1" applyFont="1" applyBorder="1" applyAlignment="1">
      <alignment vertical="center" wrapText="1"/>
    </xf>
    <xf numFmtId="0" fontId="8" fillId="0" borderId="16" xfId="0" applyFont="1" applyBorder="1" applyAlignment="1">
      <alignment horizontal="center" vertical="center" wrapText="1"/>
    </xf>
    <xf numFmtId="0" fontId="5" fillId="0" borderId="16" xfId="1" applyNumberFormat="1" applyFont="1" applyBorder="1" applyAlignment="1">
      <alignment horizontal="center" vertical="center" wrapText="1"/>
    </xf>
    <xf numFmtId="0" fontId="5" fillId="9" borderId="16" xfId="1" applyNumberFormat="1" applyFont="1" applyFill="1" applyBorder="1" applyAlignment="1">
      <alignment horizontal="center" vertical="center" wrapText="1"/>
    </xf>
    <xf numFmtId="165" fontId="5" fillId="9" borderId="16" xfId="1" applyFont="1" applyFill="1" applyBorder="1" applyAlignment="1">
      <alignment horizontal="center" vertical="center" wrapText="1"/>
    </xf>
    <xf numFmtId="165" fontId="5" fillId="0" borderId="16" xfId="1" applyFont="1" applyFill="1" applyBorder="1" applyAlignment="1">
      <alignment vertical="center" wrapText="1"/>
    </xf>
    <xf numFmtId="0" fontId="5" fillId="0" borderId="71" xfId="1" applyNumberFormat="1" applyFont="1" applyBorder="1" applyAlignment="1">
      <alignment horizontal="center" vertical="center" wrapText="1"/>
    </xf>
    <xf numFmtId="0" fontId="5" fillId="9" borderId="71" xfId="1" applyNumberFormat="1" applyFont="1" applyFill="1" applyBorder="1" applyAlignment="1">
      <alignment horizontal="center" vertical="center" wrapText="1"/>
    </xf>
    <xf numFmtId="165" fontId="5" fillId="9" borderId="71" xfId="1" applyFont="1" applyFill="1" applyBorder="1" applyAlignment="1">
      <alignment horizontal="center" vertical="center" wrapText="1"/>
    </xf>
    <xf numFmtId="165" fontId="5" fillId="2" borderId="71" xfId="1" applyFont="1" applyFill="1" applyBorder="1" applyAlignment="1">
      <alignment horizontal="center" vertical="center" wrapText="1"/>
    </xf>
    <xf numFmtId="165" fontId="5" fillId="6" borderId="71" xfId="1" applyFont="1" applyFill="1" applyBorder="1" applyAlignment="1">
      <alignment horizontal="center" vertical="center" wrapText="1"/>
    </xf>
    <xf numFmtId="165" fontId="5" fillId="7" borderId="71" xfId="1" applyFont="1" applyFill="1" applyBorder="1" applyAlignment="1">
      <alignment horizontal="center" vertical="center" wrapText="1"/>
    </xf>
    <xf numFmtId="165" fontId="39" fillId="8" borderId="16" xfId="1" applyFont="1" applyFill="1" applyBorder="1" applyAlignment="1">
      <alignment horizontal="center" vertical="center" wrapText="1"/>
    </xf>
    <xf numFmtId="0" fontId="6" fillId="0" borderId="16" xfId="0" applyFont="1" applyBorder="1" applyAlignment="1">
      <alignment horizontal="center" vertical="center" wrapText="1"/>
    </xf>
    <xf numFmtId="165" fontId="6" fillId="0" borderId="16" xfId="1" applyFont="1" applyBorder="1" applyAlignment="1">
      <alignment horizontal="center" vertical="center" wrapText="1"/>
    </xf>
    <xf numFmtId="165" fontId="6" fillId="2" borderId="16" xfId="1" applyFont="1" applyFill="1" applyBorder="1" applyAlignment="1">
      <alignment horizontal="center" vertical="center" wrapText="1"/>
    </xf>
    <xf numFmtId="165" fontId="6" fillId="6" borderId="16" xfId="1" applyFont="1" applyFill="1" applyBorder="1" applyAlignment="1">
      <alignment horizontal="center" vertical="center" wrapText="1"/>
    </xf>
    <xf numFmtId="165" fontId="6" fillId="0" borderId="16" xfId="1" applyFont="1" applyFill="1" applyBorder="1" applyAlignment="1">
      <alignment vertical="center" wrapText="1"/>
    </xf>
    <xf numFmtId="165" fontId="6" fillId="0" borderId="16" xfId="1" applyFont="1" applyBorder="1" applyAlignment="1">
      <alignment vertical="center" wrapText="1"/>
    </xf>
    <xf numFmtId="165" fontId="6" fillId="0" borderId="16" xfId="1" applyFont="1" applyFill="1" applyBorder="1" applyAlignment="1">
      <alignment horizontal="center" vertical="center" wrapText="1"/>
    </xf>
    <xf numFmtId="0" fontId="6" fillId="0" borderId="0" xfId="0" applyFont="1" applyAlignment="1">
      <alignment vertical="center" wrapText="1"/>
    </xf>
    <xf numFmtId="0" fontId="8" fillId="4" borderId="16" xfId="0" applyFont="1" applyFill="1" applyBorder="1" applyAlignment="1">
      <alignment horizontal="center" vertical="center" wrapText="1"/>
    </xf>
    <xf numFmtId="165" fontId="8" fillId="4" borderId="16" xfId="1" applyFont="1" applyFill="1" applyBorder="1" applyAlignment="1">
      <alignment horizontal="center" vertical="center" wrapText="1"/>
    </xf>
    <xf numFmtId="165" fontId="8" fillId="34" borderId="16" xfId="1" applyFont="1" applyFill="1" applyBorder="1" applyAlignment="1">
      <alignment horizontal="center" vertical="center" wrapText="1"/>
    </xf>
    <xf numFmtId="165" fontId="8" fillId="0" borderId="16" xfId="1" applyFont="1" applyBorder="1" applyAlignment="1">
      <alignment horizontal="center" vertical="center" wrapText="1"/>
    </xf>
    <xf numFmtId="0" fontId="16" fillId="0" borderId="0" xfId="101" applyAlignment="1">
      <alignment vertical="center"/>
    </xf>
    <xf numFmtId="43" fontId="0" fillId="0" borderId="0" xfId="0" applyNumberFormat="1" applyAlignment="1">
      <alignment vertical="center"/>
    </xf>
    <xf numFmtId="0" fontId="2" fillId="46" borderId="16" xfId="101" applyFont="1" applyFill="1" applyBorder="1" applyAlignment="1">
      <alignment horizontal="center" vertical="center"/>
    </xf>
    <xf numFmtId="0" fontId="2" fillId="46" borderId="16" xfId="101" applyFont="1" applyFill="1" applyBorder="1" applyAlignment="1">
      <alignment horizontal="center" vertical="center" wrapText="1"/>
    </xf>
    <xf numFmtId="0" fontId="35" fillId="46" borderId="16" xfId="101" applyFont="1" applyFill="1" applyBorder="1" applyAlignment="1">
      <alignment horizontal="center" vertical="center" wrapText="1"/>
    </xf>
    <xf numFmtId="0" fontId="35" fillId="46" borderId="16" xfId="101" applyFont="1" applyFill="1" applyBorder="1" applyAlignment="1">
      <alignment horizontal="center" vertical="center"/>
    </xf>
    <xf numFmtId="0" fontId="16" fillId="0" borderId="16" xfId="101" applyBorder="1" applyAlignment="1">
      <alignment horizontal="center" vertical="center"/>
    </xf>
    <xf numFmtId="0" fontId="16" fillId="0" borderId="0" xfId="0" applyFont="1" applyAlignment="1">
      <alignment horizontal="center" vertical="center"/>
    </xf>
    <xf numFmtId="0" fontId="2" fillId="9" borderId="16" xfId="101" applyFont="1" applyFill="1" applyBorder="1" applyAlignment="1">
      <alignment horizontal="center" vertical="center"/>
    </xf>
    <xf numFmtId="0" fontId="0" fillId="0" borderId="16" xfId="0" applyBorder="1" applyAlignment="1">
      <alignment vertical="center"/>
    </xf>
    <xf numFmtId="165" fontId="1" fillId="0" borderId="16" xfId="212" applyFont="1" applyFill="1" applyBorder="1" applyAlignment="1">
      <alignment horizontal="center" vertical="center"/>
    </xf>
    <xf numFmtId="0" fontId="35" fillId="9" borderId="16" xfId="101" applyFont="1" applyFill="1" applyBorder="1" applyAlignment="1">
      <alignment horizontal="center" vertical="center" wrapText="1"/>
    </xf>
    <xf numFmtId="0" fontId="35" fillId="9" borderId="16" xfId="101" applyFont="1" applyFill="1" applyBorder="1" applyAlignment="1">
      <alignment horizontal="center" vertical="center"/>
    </xf>
    <xf numFmtId="165" fontId="2" fillId="47" borderId="16" xfId="212" applyFont="1" applyFill="1" applyBorder="1" applyAlignment="1">
      <alignment vertical="center"/>
    </xf>
    <xf numFmtId="0" fontId="16" fillId="9" borderId="0" xfId="101" applyFill="1" applyAlignment="1">
      <alignment vertical="center"/>
    </xf>
    <xf numFmtId="165" fontId="16" fillId="0" borderId="16" xfId="101" applyNumberFormat="1" applyBorder="1" applyAlignment="1">
      <alignment vertical="center"/>
    </xf>
    <xf numFmtId="0" fontId="16" fillId="0" borderId="16" xfId="101" applyBorder="1" applyAlignment="1">
      <alignment vertical="center"/>
    </xf>
    <xf numFmtId="43" fontId="16" fillId="0" borderId="16" xfId="101" applyNumberFormat="1" applyBorder="1" applyAlignment="1">
      <alignment horizontal="center" vertical="center"/>
    </xf>
    <xf numFmtId="0" fontId="1" fillId="0" borderId="16" xfId="101" applyFont="1" applyBorder="1" applyAlignment="1">
      <alignment horizontal="center" vertical="center"/>
    </xf>
    <xf numFmtId="0" fontId="0" fillId="0" borderId="16" xfId="101" applyFont="1" applyBorder="1" applyAlignment="1">
      <alignment vertical="center"/>
    </xf>
    <xf numFmtId="165" fontId="32" fillId="0" borderId="16" xfId="212" applyFont="1" applyBorder="1" applyAlignment="1">
      <alignment horizontal="center" vertical="center"/>
    </xf>
    <xf numFmtId="165" fontId="32" fillId="0" borderId="16" xfId="212" applyFont="1" applyBorder="1" applyAlignment="1">
      <alignment vertical="center"/>
    </xf>
    <xf numFmtId="0" fontId="1" fillId="0" borderId="16" xfId="101" applyFont="1" applyBorder="1" applyAlignment="1">
      <alignment vertical="center" wrapText="1"/>
    </xf>
    <xf numFmtId="165" fontId="1" fillId="0" borderId="16" xfId="212" applyFont="1" applyBorder="1" applyAlignment="1">
      <alignment horizontal="center" vertical="center"/>
    </xf>
    <xf numFmtId="0" fontId="0" fillId="0" borderId="16" xfId="101" applyFont="1" applyBorder="1" applyAlignment="1">
      <alignment vertical="center" wrapText="1"/>
    </xf>
    <xf numFmtId="165" fontId="2" fillId="7" borderId="16" xfId="212" applyFont="1" applyFill="1" applyBorder="1" applyAlignment="1">
      <alignment vertical="center"/>
    </xf>
    <xf numFmtId="165" fontId="2" fillId="0" borderId="16" xfId="101" applyNumberFormat="1" applyFont="1" applyBorder="1" applyAlignment="1">
      <alignment vertical="center"/>
    </xf>
    <xf numFmtId="0" fontId="16" fillId="0" borderId="16" xfId="101" applyBorder="1" applyAlignment="1">
      <alignment vertical="center" wrapText="1"/>
    </xf>
    <xf numFmtId="43" fontId="62" fillId="0" borderId="16" xfId="101" applyNumberFormat="1" applyFont="1" applyBorder="1" applyAlignment="1">
      <alignment horizontal="center" vertical="center" wrapText="1"/>
    </xf>
    <xf numFmtId="0" fontId="16" fillId="0" borderId="0" xfId="0" applyFont="1"/>
    <xf numFmtId="0" fontId="16" fillId="0" borderId="0" xfId="101" applyAlignment="1">
      <alignment vertical="center" wrapText="1"/>
    </xf>
    <xf numFmtId="0" fontId="16" fillId="0" borderId="0" xfId="101" applyAlignment="1">
      <alignment horizontal="center" vertical="center" wrapText="1"/>
    </xf>
    <xf numFmtId="165" fontId="2" fillId="10" borderId="16" xfId="212" applyFont="1" applyFill="1" applyBorder="1" applyAlignment="1">
      <alignment vertical="center"/>
    </xf>
    <xf numFmtId="166" fontId="16" fillId="0" borderId="0" xfId="101" applyNumberFormat="1" applyAlignment="1">
      <alignment horizontal="center" vertical="center" wrapText="1"/>
    </xf>
    <xf numFmtId="165" fontId="2" fillId="10" borderId="0" xfId="212" applyFont="1" applyFill="1" applyBorder="1" applyAlignment="1">
      <alignment horizontal="right" vertical="center"/>
    </xf>
    <xf numFmtId="165" fontId="2" fillId="10" borderId="0" xfId="212" applyFont="1" applyFill="1" applyBorder="1" applyAlignment="1">
      <alignment vertical="center"/>
    </xf>
    <xf numFmtId="43" fontId="0" fillId="0" borderId="0" xfId="0" applyNumberFormat="1"/>
    <xf numFmtId="0" fontId="2" fillId="0" borderId="0" xfId="101" applyFont="1" applyAlignment="1">
      <alignment horizontal="center" vertical="center"/>
    </xf>
    <xf numFmtId="1" fontId="32" fillId="45" borderId="88" xfId="0" applyNumberFormat="1" applyFont="1" applyFill="1" applyBorder="1" applyAlignment="1">
      <alignment horizontal="left" vertical="center" wrapText="1"/>
    </xf>
    <xf numFmtId="165" fontId="32" fillId="45" borderId="88" xfId="1" applyFont="1" applyFill="1" applyBorder="1" applyAlignment="1">
      <alignment horizontal="center" vertical="center" wrapText="1"/>
    </xf>
    <xf numFmtId="165" fontId="32" fillId="8" borderId="88" xfId="1" applyFont="1" applyFill="1" applyBorder="1" applyAlignment="1">
      <alignment horizontal="left" vertical="center" wrapText="1"/>
    </xf>
    <xf numFmtId="165" fontId="8" fillId="0" borderId="0" xfId="1" applyFont="1" applyFill="1" applyBorder="1" applyAlignment="1">
      <alignment vertical="center"/>
    </xf>
    <xf numFmtId="165" fontId="8" fillId="4" borderId="88" xfId="1" applyFont="1" applyFill="1" applyBorder="1" applyAlignment="1">
      <alignment horizontal="center" vertical="center"/>
    </xf>
    <xf numFmtId="0" fontId="8" fillId="4" borderId="88" xfId="0" applyFont="1" applyFill="1" applyBorder="1" applyAlignment="1">
      <alignment horizontal="center" vertical="center"/>
    </xf>
    <xf numFmtId="165" fontId="8" fillId="0" borderId="88" xfId="1" applyFont="1" applyBorder="1" applyAlignment="1">
      <alignment vertical="center"/>
    </xf>
    <xf numFmtId="0" fontId="8" fillId="0" borderId="88" xfId="0" applyFont="1" applyBorder="1" applyAlignment="1">
      <alignment horizontal="center" vertical="center"/>
    </xf>
    <xf numFmtId="0" fontId="8" fillId="8" borderId="88" xfId="0" applyFont="1" applyFill="1" applyBorder="1" applyAlignment="1">
      <alignment horizontal="left" vertical="center"/>
    </xf>
    <xf numFmtId="165" fontId="8" fillId="0" borderId="88" xfId="1" applyFont="1" applyBorder="1" applyAlignment="1">
      <alignment horizontal="left" vertical="center"/>
    </xf>
    <xf numFmtId="0" fontId="5" fillId="0" borderId="88" xfId="0" applyFont="1" applyBorder="1" applyAlignment="1">
      <alignment horizontal="center" vertical="center"/>
    </xf>
    <xf numFmtId="165" fontId="5" fillId="0" borderId="88" xfId="1" applyFont="1" applyBorder="1" applyAlignment="1">
      <alignment vertical="center"/>
    </xf>
    <xf numFmtId="0" fontId="5" fillId="0" borderId="88" xfId="0" applyFont="1" applyBorder="1" applyAlignment="1">
      <alignment vertical="center"/>
    </xf>
    <xf numFmtId="0" fontId="5" fillId="0" borderId="88" xfId="0" applyFont="1" applyBorder="1" applyAlignment="1">
      <alignment horizontal="left" vertical="center"/>
    </xf>
    <xf numFmtId="165" fontId="5" fillId="0" borderId="88" xfId="1" applyFont="1" applyFill="1" applyBorder="1" applyAlignment="1">
      <alignment horizontal="left" vertical="center"/>
    </xf>
    <xf numFmtId="165" fontId="5" fillId="0" borderId="88" xfId="1" applyFont="1" applyBorder="1" applyAlignment="1">
      <alignment horizontal="right" vertical="center"/>
    </xf>
    <xf numFmtId="165" fontId="5" fillId="0" borderId="0" xfId="0" applyNumberFormat="1" applyFont="1" applyAlignment="1">
      <alignment vertical="center"/>
    </xf>
    <xf numFmtId="165" fontId="5" fillId="0" borderId="88" xfId="0" applyNumberFormat="1" applyFont="1" applyBorder="1" applyAlignment="1">
      <alignment vertical="center"/>
    </xf>
    <xf numFmtId="2" fontId="5" fillId="0" borderId="88" xfId="0" applyNumberFormat="1" applyFont="1" applyBorder="1" applyAlignment="1">
      <alignment vertical="center"/>
    </xf>
    <xf numFmtId="0" fontId="8" fillId="8" borderId="88" xfId="0" applyFont="1" applyFill="1" applyBorder="1" applyAlignment="1">
      <alignment horizontal="left" vertical="center" wrapText="1"/>
    </xf>
    <xf numFmtId="0" fontId="5" fillId="73" borderId="88" xfId="0" applyFont="1" applyFill="1" applyBorder="1" applyAlignment="1">
      <alignment horizontal="center" vertical="center"/>
    </xf>
    <xf numFmtId="0" fontId="5" fillId="73" borderId="88" xfId="0" applyFont="1" applyFill="1" applyBorder="1" applyAlignment="1">
      <alignment vertical="center"/>
    </xf>
    <xf numFmtId="165" fontId="5" fillId="73" borderId="88" xfId="1" applyFont="1" applyFill="1" applyBorder="1" applyAlignment="1">
      <alignment vertical="center"/>
    </xf>
    <xf numFmtId="0" fontId="8" fillId="34" borderId="88" xfId="0" applyFont="1" applyFill="1" applyBorder="1" applyAlignment="1">
      <alignment horizontal="center" vertical="center"/>
    </xf>
    <xf numFmtId="0" fontId="8" fillId="34" borderId="88" xfId="0" applyFont="1" applyFill="1" applyBorder="1" applyAlignment="1">
      <alignment vertical="center"/>
    </xf>
    <xf numFmtId="165" fontId="8" fillId="34" borderId="88" xfId="1" applyFont="1" applyFill="1" applyBorder="1" applyAlignment="1">
      <alignment vertical="center"/>
    </xf>
    <xf numFmtId="0" fontId="8" fillId="0" borderId="0" xfId="0" applyFont="1" applyAlignment="1">
      <alignment horizontal="center" vertical="center"/>
    </xf>
    <xf numFmtId="165" fontId="8" fillId="0" borderId="0" xfId="1" applyFont="1" applyBorder="1" applyAlignment="1">
      <alignment vertical="center"/>
    </xf>
    <xf numFmtId="0" fontId="8" fillId="74" borderId="88" xfId="0" applyFont="1" applyFill="1" applyBorder="1" applyAlignment="1">
      <alignment horizontal="center" vertical="center" wrapText="1"/>
    </xf>
    <xf numFmtId="43" fontId="5" fillId="0" borderId="0" xfId="0" applyNumberFormat="1" applyFont="1" applyAlignment="1">
      <alignment vertical="center"/>
    </xf>
    <xf numFmtId="166" fontId="5" fillId="0" borderId="88" xfId="0" applyNumberFormat="1" applyFont="1" applyBorder="1" applyAlignment="1">
      <alignment horizontal="center" vertical="center" wrapText="1"/>
    </xf>
    <xf numFmtId="168" fontId="5" fillId="0" borderId="88" xfId="0" applyNumberFormat="1" applyFont="1" applyBorder="1" applyAlignment="1">
      <alignment horizontal="center" vertical="center" wrapText="1"/>
    </xf>
    <xf numFmtId="2" fontId="8" fillId="0" borderId="88" xfId="0" applyNumberFormat="1" applyFont="1" applyBorder="1" applyAlignment="1">
      <alignment horizontal="center" vertical="center" wrapText="1"/>
    </xf>
    <xf numFmtId="168" fontId="8" fillId="0" borderId="88" xfId="0" applyNumberFormat="1" applyFont="1" applyBorder="1" applyAlignment="1">
      <alignment horizontal="center" vertical="center" wrapText="1"/>
    </xf>
    <xf numFmtId="165" fontId="8" fillId="0" borderId="88" xfId="1" applyFont="1" applyBorder="1" applyAlignment="1">
      <alignment horizontal="center" vertical="center" wrapText="1"/>
    </xf>
    <xf numFmtId="0" fontId="5" fillId="0" borderId="0" xfId="0" applyFont="1" applyAlignment="1">
      <alignment horizontal="left" vertical="center"/>
    </xf>
    <xf numFmtId="0" fontId="63" fillId="8" borderId="0" xfId="0" applyFont="1" applyFill="1" applyAlignment="1">
      <alignment vertical="center"/>
    </xf>
    <xf numFmtId="0" fontId="35" fillId="0" borderId="0" xfId="0" applyFont="1" applyAlignment="1">
      <alignment horizontal="center" vertical="center"/>
    </xf>
    <xf numFmtId="2" fontId="5" fillId="8" borderId="16" xfId="0" applyNumberFormat="1" applyFont="1" applyFill="1" applyBorder="1" applyAlignment="1">
      <alignment horizontal="center" vertical="center" wrapText="1"/>
    </xf>
    <xf numFmtId="2" fontId="5" fillId="8" borderId="1" xfId="0" applyNumberFormat="1" applyFont="1" applyFill="1" applyBorder="1" applyAlignment="1">
      <alignment horizontal="center" vertical="center" wrapText="1"/>
    </xf>
    <xf numFmtId="165" fontId="5" fillId="8" borderId="16" xfId="1" applyFont="1" applyFill="1" applyBorder="1" applyAlignment="1">
      <alignment horizontal="center" vertical="center" wrapText="1"/>
    </xf>
    <xf numFmtId="43" fontId="8" fillId="0" borderId="2" xfId="0" applyNumberFormat="1" applyFont="1" applyBorder="1" applyAlignment="1">
      <alignment vertical="center" wrapText="1"/>
    </xf>
    <xf numFmtId="165" fontId="32" fillId="45" borderId="0" xfId="1" applyFont="1" applyFill="1" applyBorder="1" applyAlignment="1">
      <alignment horizontal="left" vertical="center" wrapText="1"/>
    </xf>
    <xf numFmtId="165" fontId="35" fillId="4" borderId="0" xfId="1" applyFont="1" applyFill="1" applyBorder="1" applyAlignment="1">
      <alignment horizontal="left" vertical="center" wrapText="1"/>
    </xf>
    <xf numFmtId="165" fontId="35" fillId="45" borderId="0" xfId="1" applyFont="1" applyFill="1" applyBorder="1" applyAlignment="1">
      <alignment horizontal="left" vertical="center" wrapText="1"/>
    </xf>
    <xf numFmtId="2" fontId="32" fillId="45" borderId="88" xfId="0" applyNumberFormat="1" applyFont="1" applyFill="1" applyBorder="1" applyAlignment="1">
      <alignment horizontal="center" vertical="center" wrapText="1"/>
    </xf>
    <xf numFmtId="165" fontId="35" fillId="0" borderId="88" xfId="1" applyFont="1" applyFill="1" applyBorder="1" applyAlignment="1">
      <alignment horizontal="center" vertical="center" wrapText="1"/>
    </xf>
    <xf numFmtId="165" fontId="32" fillId="45" borderId="88" xfId="1" applyFont="1" applyFill="1" applyBorder="1" applyAlignment="1">
      <alignment vertical="center" wrapText="1"/>
    </xf>
    <xf numFmtId="165" fontId="32" fillId="45" borderId="88" xfId="1" applyFont="1" applyFill="1" applyBorder="1" applyAlignment="1">
      <alignment horizontal="left" vertical="center" wrapText="1"/>
    </xf>
    <xf numFmtId="2" fontId="35" fillId="4" borderId="88" xfId="0" applyNumberFormat="1" applyFont="1" applyFill="1" applyBorder="1" applyAlignment="1">
      <alignment horizontal="center" vertical="center" wrapText="1"/>
    </xf>
    <xf numFmtId="165" fontId="35" fillId="4" borderId="88" xfId="1" applyFont="1" applyFill="1" applyBorder="1" applyAlignment="1">
      <alignment horizontal="center" vertical="center" wrapText="1"/>
    </xf>
    <xf numFmtId="165" fontId="35" fillId="4" borderId="88" xfId="1" applyFont="1" applyFill="1" applyBorder="1" applyAlignment="1">
      <alignment horizontal="left" vertical="center" wrapText="1"/>
    </xf>
    <xf numFmtId="2" fontId="35" fillId="3" borderId="88" xfId="0" applyNumberFormat="1" applyFont="1" applyFill="1" applyBorder="1" applyAlignment="1">
      <alignment horizontal="center" vertical="center" wrapText="1"/>
    </xf>
    <xf numFmtId="2" fontId="35" fillId="3" borderId="88" xfId="0" applyNumberFormat="1" applyFont="1" applyFill="1" applyBorder="1" applyAlignment="1">
      <alignment horizontal="left" vertical="center" wrapText="1"/>
    </xf>
    <xf numFmtId="2" fontId="35" fillId="45" borderId="88" xfId="0" applyNumberFormat="1" applyFont="1" applyFill="1" applyBorder="1" applyAlignment="1">
      <alignment horizontal="center" vertical="center" wrapText="1"/>
    </xf>
    <xf numFmtId="165" fontId="35" fillId="45" borderId="88" xfId="1" applyFont="1" applyFill="1" applyBorder="1" applyAlignment="1">
      <alignment horizontal="left" vertical="center" wrapText="1"/>
    </xf>
    <xf numFmtId="1" fontId="32" fillId="45" borderId="88" xfId="0" applyNumberFormat="1" applyFont="1" applyFill="1" applyBorder="1" applyAlignment="1">
      <alignment horizontal="center" vertical="center" wrapText="1"/>
    </xf>
    <xf numFmtId="165" fontId="32" fillId="0" borderId="88" xfId="1" applyFont="1" applyFill="1" applyBorder="1" applyAlignment="1">
      <alignment horizontal="center" vertical="center" wrapText="1"/>
    </xf>
    <xf numFmtId="165" fontId="32" fillId="45" borderId="88" xfId="1" applyFont="1" applyFill="1" applyBorder="1" applyAlignment="1">
      <alignment horizontal="right" vertical="center" wrapText="1"/>
    </xf>
    <xf numFmtId="1" fontId="0" fillId="45" borderId="88" xfId="0" applyNumberFormat="1" applyFill="1" applyBorder="1" applyAlignment="1">
      <alignment horizontal="left" vertical="center" wrapText="1"/>
    </xf>
    <xf numFmtId="1" fontId="35" fillId="45" borderId="88" xfId="0" applyNumberFormat="1" applyFont="1" applyFill="1" applyBorder="1" applyAlignment="1">
      <alignment horizontal="center" vertical="center" wrapText="1"/>
    </xf>
    <xf numFmtId="1" fontId="35" fillId="45" borderId="88" xfId="0" applyNumberFormat="1" applyFont="1" applyFill="1" applyBorder="1" applyAlignment="1">
      <alignment horizontal="left" vertical="center" wrapText="1"/>
    </xf>
    <xf numFmtId="165" fontId="35" fillId="45" borderId="88" xfId="1" applyFont="1" applyFill="1" applyBorder="1" applyAlignment="1">
      <alignment horizontal="right" vertical="center" wrapText="1"/>
    </xf>
    <xf numFmtId="1" fontId="35" fillId="3" borderId="88" xfId="0" applyNumberFormat="1" applyFont="1" applyFill="1" applyBorder="1" applyAlignment="1">
      <alignment horizontal="center" vertical="center" wrapText="1"/>
    </xf>
    <xf numFmtId="1" fontId="35" fillId="3" borderId="88" xfId="0" applyNumberFormat="1" applyFont="1" applyFill="1" applyBorder="1" applyAlignment="1">
      <alignment horizontal="left" vertical="center" wrapText="1"/>
    </xf>
    <xf numFmtId="1" fontId="35" fillId="8" borderId="88" xfId="0" applyNumberFormat="1" applyFont="1" applyFill="1" applyBorder="1" applyAlignment="1">
      <alignment horizontal="left" vertical="center" wrapText="1"/>
    </xf>
    <xf numFmtId="0" fontId="32" fillId="0" borderId="88" xfId="0" applyFont="1" applyBorder="1" applyAlignment="1">
      <alignment horizontal="center" vertical="center" wrapText="1"/>
    </xf>
    <xf numFmtId="1" fontId="35" fillId="8" borderId="88" xfId="0" applyNumberFormat="1" applyFont="1" applyFill="1" applyBorder="1" applyAlignment="1">
      <alignment horizontal="center" vertical="center" wrapText="1"/>
    </xf>
    <xf numFmtId="165" fontId="35" fillId="8" borderId="88" xfId="1" applyFont="1" applyFill="1" applyBorder="1" applyAlignment="1">
      <alignment horizontal="right" vertical="center" wrapText="1"/>
    </xf>
    <xf numFmtId="165" fontId="35" fillId="8" borderId="88" xfId="1" applyFont="1" applyFill="1" applyBorder="1" applyAlignment="1">
      <alignment horizontal="left" vertical="center" wrapText="1"/>
    </xf>
    <xf numFmtId="165" fontId="0" fillId="0" borderId="88" xfId="1" applyFont="1" applyFill="1" applyBorder="1" applyAlignment="1">
      <alignment horizontal="right" vertical="center"/>
    </xf>
    <xf numFmtId="165" fontId="32" fillId="8" borderId="88" xfId="1" applyFont="1" applyFill="1" applyBorder="1" applyAlignment="1">
      <alignment horizontal="center" vertical="center" wrapText="1"/>
    </xf>
    <xf numFmtId="43" fontId="0" fillId="0" borderId="0" xfId="0" applyNumberFormat="1" applyAlignment="1">
      <alignment horizontal="center" vertical="center" wrapText="1"/>
    </xf>
    <xf numFmtId="2" fontId="5" fillId="2" borderId="16" xfId="0" applyNumberFormat="1" applyFont="1" applyFill="1" applyBorder="1" applyAlignment="1">
      <alignment vertical="center" wrapText="1"/>
    </xf>
    <xf numFmtId="165" fontId="5" fillId="4" borderId="1" xfId="1" applyFont="1" applyFill="1" applyBorder="1" applyAlignment="1">
      <alignment vertical="center" wrapText="1"/>
    </xf>
    <xf numFmtId="165" fontId="0" fillId="0" borderId="105" xfId="1" applyFont="1" applyFill="1" applyBorder="1" applyAlignment="1">
      <alignment horizontal="right" vertical="center"/>
    </xf>
    <xf numFmtId="1" fontId="68" fillId="8" borderId="105" xfId="0" applyNumberFormat="1" applyFont="1" applyFill="1" applyBorder="1" applyAlignment="1">
      <alignment horizontal="center" vertical="center" wrapText="1"/>
    </xf>
    <xf numFmtId="165" fontId="32" fillId="45" borderId="105" xfId="1" applyFont="1" applyFill="1" applyBorder="1" applyAlignment="1">
      <alignment vertical="center" wrapText="1"/>
    </xf>
    <xf numFmtId="165" fontId="35" fillId="0" borderId="105" xfId="1" applyFont="1" applyFill="1" applyBorder="1" applyAlignment="1">
      <alignment horizontal="center" vertical="center" wrapText="1"/>
    </xf>
    <xf numFmtId="165" fontId="68" fillId="8" borderId="105" xfId="0" applyNumberFormat="1" applyFont="1" applyFill="1" applyBorder="1" applyAlignment="1">
      <alignment vertical="center" wrapText="1"/>
    </xf>
    <xf numFmtId="1" fontId="35" fillId="45" borderId="105" xfId="0" applyNumberFormat="1" applyFont="1" applyFill="1" applyBorder="1" applyAlignment="1">
      <alignment horizontal="left" vertical="center" wrapText="1"/>
    </xf>
    <xf numFmtId="1" fontId="0" fillId="45" borderId="105" xfId="0" applyNumberFormat="1" applyFill="1" applyBorder="1" applyAlignment="1">
      <alignment horizontal="left" vertical="center" wrapText="1"/>
    </xf>
    <xf numFmtId="2" fontId="35" fillId="45" borderId="105" xfId="0" applyNumberFormat="1" applyFont="1" applyFill="1" applyBorder="1" applyAlignment="1">
      <alignment horizontal="center" vertical="center" wrapText="1"/>
    </xf>
    <xf numFmtId="2" fontId="35" fillId="3" borderId="105" xfId="0" applyNumberFormat="1" applyFont="1" applyFill="1" applyBorder="1" applyAlignment="1">
      <alignment horizontal="center" vertical="center" wrapText="1"/>
    </xf>
    <xf numFmtId="165" fontId="35" fillId="4" borderId="105" xfId="1" applyFont="1" applyFill="1" applyBorder="1" applyAlignment="1">
      <alignment horizontal="left" vertical="center" wrapText="1"/>
    </xf>
    <xf numFmtId="165" fontId="35" fillId="4" borderId="105" xfId="1" applyFont="1" applyFill="1" applyBorder="1" applyAlignment="1">
      <alignment horizontal="center" vertical="center" wrapText="1"/>
    </xf>
    <xf numFmtId="165" fontId="35" fillId="75" borderId="1" xfId="1" applyFont="1" applyFill="1" applyBorder="1" applyAlignment="1">
      <alignment horizontal="right" vertical="center" wrapText="1"/>
    </xf>
    <xf numFmtId="0" fontId="0" fillId="0" borderId="105" xfId="0" applyBorder="1" applyAlignment="1">
      <alignment vertical="center" wrapText="1"/>
    </xf>
    <xf numFmtId="1" fontId="35" fillId="45" borderId="105" xfId="0" applyNumberFormat="1" applyFont="1" applyFill="1" applyBorder="1" applyAlignment="1">
      <alignment vertical="center" wrapText="1"/>
    </xf>
    <xf numFmtId="43" fontId="32" fillId="0" borderId="0" xfId="0" applyNumberFormat="1" applyFont="1" applyAlignment="1">
      <alignment vertical="center" wrapText="1"/>
    </xf>
    <xf numFmtId="0" fontId="5" fillId="8" borderId="1" xfId="0" applyFont="1" applyFill="1" applyBorder="1" applyAlignment="1">
      <alignment horizontal="center" vertical="center" wrapText="1"/>
    </xf>
    <xf numFmtId="0" fontId="31" fillId="4" borderId="16" xfId="0" applyFont="1" applyFill="1" applyBorder="1" applyAlignment="1">
      <alignment horizontal="center" vertical="center" wrapText="1"/>
    </xf>
    <xf numFmtId="2" fontId="0" fillId="0" borderId="105" xfId="0" applyNumberFormat="1" applyBorder="1" applyAlignment="1">
      <alignment horizontal="center" vertical="center" wrapText="1"/>
    </xf>
    <xf numFmtId="165" fontId="0" fillId="0" borderId="105" xfId="1" applyFont="1" applyBorder="1" applyAlignment="1">
      <alignment horizontal="center" vertical="center" wrapText="1"/>
    </xf>
    <xf numFmtId="0" fontId="0" fillId="4" borderId="105" xfId="0" applyFill="1" applyBorder="1" applyAlignment="1">
      <alignment horizontal="center" vertical="center" wrapText="1"/>
    </xf>
    <xf numFmtId="165" fontId="35" fillId="8" borderId="105" xfId="1" applyFont="1" applyFill="1" applyBorder="1" applyAlignment="1">
      <alignment horizontal="right" vertical="center" wrapText="1"/>
    </xf>
    <xf numFmtId="1" fontId="35" fillId="8" borderId="105" xfId="0" applyNumberFormat="1" applyFont="1" applyFill="1" applyBorder="1" applyAlignment="1">
      <alignment horizontal="center" vertical="center" wrapText="1"/>
    </xf>
    <xf numFmtId="165" fontId="32" fillId="8" borderId="105" xfId="1" applyFont="1" applyFill="1" applyBorder="1" applyAlignment="1">
      <alignment horizontal="left" vertical="center" wrapText="1"/>
    </xf>
    <xf numFmtId="1" fontId="35" fillId="3" borderId="105" xfId="0" applyNumberFormat="1" applyFont="1" applyFill="1" applyBorder="1" applyAlignment="1">
      <alignment horizontal="left" vertical="center" wrapText="1"/>
    </xf>
    <xf numFmtId="1" fontId="35" fillId="3" borderId="105" xfId="0" applyNumberFormat="1" applyFont="1" applyFill="1" applyBorder="1" applyAlignment="1">
      <alignment horizontal="center" vertical="center" wrapText="1"/>
    </xf>
    <xf numFmtId="165" fontId="5" fillId="73" borderId="88" xfId="1" applyFont="1" applyFill="1" applyBorder="1" applyAlignment="1">
      <alignment horizontal="center" vertical="center"/>
    </xf>
    <xf numFmtId="165" fontId="5" fillId="0" borderId="105" xfId="1" applyFont="1" applyBorder="1" applyAlignment="1">
      <alignment horizontal="center" vertical="center"/>
    </xf>
    <xf numFmtId="165" fontId="5" fillId="0" borderId="0" xfId="1" applyFont="1" applyBorder="1" applyAlignment="1">
      <alignment horizontal="center" vertical="center"/>
    </xf>
    <xf numFmtId="165" fontId="8" fillId="0" borderId="0" xfId="0" applyNumberFormat="1" applyFont="1" applyAlignment="1">
      <alignment vertical="center"/>
    </xf>
    <xf numFmtId="166" fontId="5" fillId="0" borderId="0" xfId="0" applyNumberFormat="1" applyFont="1" applyAlignment="1">
      <alignment horizontal="center" vertical="center"/>
    </xf>
    <xf numFmtId="165" fontId="8" fillId="0" borderId="0" xfId="1" applyFont="1" applyBorder="1" applyAlignment="1">
      <alignment horizontal="center" vertical="center"/>
    </xf>
    <xf numFmtId="165" fontId="5" fillId="0" borderId="0" xfId="1" applyFont="1" applyBorder="1" applyAlignment="1">
      <alignment vertical="center"/>
    </xf>
    <xf numFmtId="165" fontId="8" fillId="0" borderId="105" xfId="1" applyFont="1" applyBorder="1" applyAlignment="1">
      <alignment horizontal="center" vertical="center"/>
    </xf>
    <xf numFmtId="165" fontId="5" fillId="0" borderId="105" xfId="1" applyFont="1" applyBorder="1" applyAlignment="1">
      <alignment vertical="center"/>
    </xf>
    <xf numFmtId="165" fontId="32" fillId="0" borderId="105" xfId="1" applyFont="1" applyFill="1" applyBorder="1" applyAlignment="1">
      <alignment horizontal="center" vertical="center" wrapText="1"/>
    </xf>
    <xf numFmtId="2" fontId="35" fillId="3" borderId="105" xfId="0" applyNumberFormat="1" applyFont="1" applyFill="1" applyBorder="1" applyAlignment="1">
      <alignment horizontal="left" vertical="center" wrapText="1"/>
    </xf>
    <xf numFmtId="1" fontId="35" fillId="45" borderId="105" xfId="0" applyNumberFormat="1" applyFont="1" applyFill="1" applyBorder="1" applyAlignment="1">
      <alignment horizontal="right" vertical="center" wrapText="1"/>
    </xf>
    <xf numFmtId="165" fontId="6" fillId="11" borderId="1" xfId="1" applyFont="1" applyFill="1" applyBorder="1" applyAlignment="1">
      <alignment vertical="center" wrapText="1"/>
    </xf>
    <xf numFmtId="165" fontId="5" fillId="9" borderId="0" xfId="1" applyFont="1" applyFill="1" applyBorder="1" applyAlignment="1">
      <alignment vertical="center" wrapText="1"/>
    </xf>
    <xf numFmtId="165" fontId="5" fillId="3" borderId="1" xfId="1" applyFont="1" applyFill="1" applyBorder="1" applyAlignment="1">
      <alignment vertical="center" wrapText="1"/>
    </xf>
    <xf numFmtId="165" fontId="6" fillId="2" borderId="1" xfId="1" applyFont="1" applyFill="1" applyBorder="1" applyAlignment="1">
      <alignment vertical="center" wrapText="1"/>
    </xf>
    <xf numFmtId="2" fontId="5" fillId="0" borderId="88" xfId="0" applyNumberFormat="1" applyFont="1" applyBorder="1" applyAlignment="1">
      <alignment vertical="center" wrapText="1"/>
    </xf>
    <xf numFmtId="2" fontId="35" fillId="4" borderId="105" xfId="0" applyNumberFormat="1" applyFont="1" applyFill="1" applyBorder="1" applyAlignment="1">
      <alignment horizontal="center" vertical="center" wrapText="1"/>
    </xf>
    <xf numFmtId="165" fontId="5" fillId="73" borderId="0" xfId="1" applyFont="1" applyFill="1" applyBorder="1" applyAlignment="1">
      <alignment vertical="center"/>
    </xf>
    <xf numFmtId="0" fontId="0" fillId="0" borderId="105" xfId="0" applyBorder="1" applyAlignment="1">
      <alignment horizontal="right" vertical="center" wrapText="1"/>
    </xf>
    <xf numFmtId="165" fontId="35" fillId="45" borderId="105" xfId="1" applyFont="1" applyFill="1" applyBorder="1" applyAlignment="1">
      <alignment horizontal="left" vertical="center" wrapText="1"/>
    </xf>
    <xf numFmtId="165" fontId="35" fillId="45" borderId="105" xfId="1" applyFont="1" applyFill="1" applyBorder="1" applyAlignment="1">
      <alignment horizontal="right" vertical="center" wrapText="1"/>
    </xf>
    <xf numFmtId="165" fontId="32" fillId="0" borderId="105" xfId="1" applyFont="1" applyBorder="1" applyAlignment="1">
      <alignment horizontal="left" vertical="center" wrapText="1"/>
    </xf>
    <xf numFmtId="165" fontId="35" fillId="8" borderId="105" xfId="1" applyFont="1" applyFill="1" applyBorder="1" applyAlignment="1">
      <alignment horizontal="left" vertical="center" wrapText="1"/>
    </xf>
    <xf numFmtId="1" fontId="35" fillId="8" borderId="105" xfId="0" applyNumberFormat="1" applyFont="1" applyFill="1" applyBorder="1" applyAlignment="1">
      <alignment horizontal="left" vertical="center" wrapText="1"/>
    </xf>
    <xf numFmtId="0" fontId="32" fillId="0" borderId="105" xfId="0" applyFont="1" applyBorder="1" applyAlignment="1">
      <alignment vertical="center" wrapText="1"/>
    </xf>
    <xf numFmtId="1" fontId="32" fillId="45" borderId="105" xfId="0" applyNumberFormat="1" applyFont="1" applyFill="1" applyBorder="1" applyAlignment="1">
      <alignment horizontal="left" vertical="center" wrapText="1"/>
    </xf>
    <xf numFmtId="165" fontId="32" fillId="0" borderId="105" xfId="1" applyFont="1" applyFill="1" applyBorder="1" applyAlignment="1">
      <alignment horizontal="left" vertical="center" wrapText="1"/>
    </xf>
    <xf numFmtId="0" fontId="32" fillId="0" borderId="105" xfId="0" applyFont="1" applyBorder="1" applyAlignment="1">
      <alignment horizontal="center" vertical="center" wrapText="1"/>
    </xf>
    <xf numFmtId="1" fontId="35" fillId="45" borderId="105" xfId="0" applyNumberFormat="1" applyFont="1" applyFill="1" applyBorder="1" applyAlignment="1">
      <alignment horizontal="center" vertical="center" wrapText="1"/>
    </xf>
    <xf numFmtId="165" fontId="32" fillId="45" borderId="105" xfId="1" applyFont="1" applyFill="1" applyBorder="1" applyAlignment="1">
      <alignment horizontal="left" vertical="center" wrapText="1"/>
    </xf>
    <xf numFmtId="165" fontId="32" fillId="45" borderId="105" xfId="1" applyFont="1" applyFill="1" applyBorder="1" applyAlignment="1">
      <alignment horizontal="right" vertical="center" wrapText="1"/>
    </xf>
    <xf numFmtId="165" fontId="32" fillId="45" borderId="105" xfId="1" applyFont="1" applyFill="1" applyBorder="1" applyAlignment="1">
      <alignment horizontal="center" vertical="center" wrapText="1"/>
    </xf>
    <xf numFmtId="2" fontId="32" fillId="45" borderId="105" xfId="0" applyNumberFormat="1" applyFont="1" applyFill="1" applyBorder="1" applyAlignment="1">
      <alignment horizontal="center" vertical="center" wrapText="1"/>
    </xf>
    <xf numFmtId="0" fontId="32" fillId="0" borderId="105" xfId="95" applyFont="1" applyBorder="1" applyAlignment="1">
      <alignment vertical="center" wrapText="1"/>
    </xf>
    <xf numFmtId="1" fontId="32" fillId="45" borderId="105" xfId="0" applyNumberFormat="1" applyFont="1" applyFill="1" applyBorder="1" applyAlignment="1">
      <alignment horizontal="center" vertical="center" wrapText="1"/>
    </xf>
    <xf numFmtId="165" fontId="32" fillId="0" borderId="105" xfId="1" applyFont="1" applyBorder="1" applyAlignment="1">
      <alignment horizontal="center" vertical="center" wrapText="1"/>
    </xf>
    <xf numFmtId="165" fontId="32" fillId="0" borderId="0" xfId="0" applyNumberFormat="1" applyFont="1" applyAlignment="1">
      <alignment vertical="center" wrapText="1"/>
    </xf>
    <xf numFmtId="0" fontId="5" fillId="0" borderId="105" xfId="0" applyFont="1" applyBorder="1" applyAlignment="1">
      <alignment vertical="center" wrapText="1"/>
    </xf>
    <xf numFmtId="2" fontId="5" fillId="0" borderId="105" xfId="0" applyNumberFormat="1" applyFont="1" applyBorder="1" applyAlignment="1">
      <alignment horizontal="center" vertical="center" wrapText="1"/>
    </xf>
    <xf numFmtId="0" fontId="0" fillId="4" borderId="105" xfId="0" applyFill="1" applyBorder="1" applyAlignment="1">
      <alignment horizontal="center" vertical="center"/>
    </xf>
    <xf numFmtId="0" fontId="0" fillId="0" borderId="105" xfId="0" applyBorder="1" applyAlignment="1">
      <alignment horizontal="center" vertical="center"/>
    </xf>
    <xf numFmtId="0" fontId="2" fillId="37" borderId="105" xfId="0" applyFont="1" applyFill="1" applyBorder="1" applyAlignment="1">
      <alignment horizontal="left" vertical="center"/>
    </xf>
    <xf numFmtId="2" fontId="0" fillId="0" borderId="105" xfId="0" applyNumberFormat="1" applyBorder="1" applyAlignment="1">
      <alignment horizontal="center" vertical="center"/>
    </xf>
    <xf numFmtId="165" fontId="0" fillId="0" borderId="105" xfId="1" applyFont="1" applyBorder="1" applyAlignment="1">
      <alignment horizontal="center" vertical="center"/>
    </xf>
    <xf numFmtId="165" fontId="0" fillId="0" borderId="105" xfId="1" applyFont="1" applyBorder="1" applyAlignment="1">
      <alignment horizontal="left" vertical="center"/>
    </xf>
    <xf numFmtId="165" fontId="2" fillId="0" borderId="105" xfId="1" applyFont="1" applyBorder="1" applyAlignment="1">
      <alignment horizontal="center" vertical="center"/>
    </xf>
    <xf numFmtId="0" fontId="0" fillId="0" borderId="105" xfId="0" applyBorder="1" applyAlignment="1">
      <alignment horizontal="left" vertical="center"/>
    </xf>
    <xf numFmtId="165" fontId="2" fillId="0" borderId="109" xfId="1" applyFont="1" applyBorder="1" applyAlignment="1">
      <alignment horizontal="center" vertical="center"/>
    </xf>
    <xf numFmtId="0" fontId="0" fillId="8" borderId="109" xfId="0" applyFill="1" applyBorder="1" applyAlignment="1">
      <alignment horizontal="center" vertical="center" wrapText="1"/>
    </xf>
    <xf numFmtId="0" fontId="0" fillId="0" borderId="109" xfId="0" applyBorder="1" applyAlignment="1">
      <alignment horizontal="center" vertical="center" wrapText="1"/>
    </xf>
    <xf numFmtId="0" fontId="0" fillId="0" borderId="109" xfId="0" applyBorder="1" applyAlignment="1">
      <alignment horizontal="left" vertical="center" wrapText="1"/>
    </xf>
    <xf numFmtId="2" fontId="32" fillId="8" borderId="16" xfId="95" applyNumberFormat="1" applyFont="1" applyFill="1" applyBorder="1" applyAlignment="1">
      <alignment horizontal="center" vertical="center" wrapText="1"/>
    </xf>
    <xf numFmtId="165" fontId="5" fillId="0" borderId="0" xfId="0" applyNumberFormat="1" applyFont="1" applyAlignment="1">
      <alignment vertical="center" wrapText="1"/>
    </xf>
    <xf numFmtId="2" fontId="5" fillId="76" borderId="16" xfId="0" applyNumberFormat="1" applyFont="1" applyFill="1" applyBorder="1" applyAlignment="1">
      <alignment horizontal="center" vertical="center" wrapText="1"/>
    </xf>
    <xf numFmtId="2" fontId="39" fillId="76" borderId="1" xfId="0" applyNumberFormat="1" applyFont="1" applyFill="1" applyBorder="1" applyAlignment="1">
      <alignment horizontal="center" vertical="center" wrapText="1"/>
    </xf>
    <xf numFmtId="0" fontId="5" fillId="76" borderId="16" xfId="0" applyFont="1" applyFill="1" applyBorder="1" applyAlignment="1">
      <alignment horizontal="center" vertical="center" wrapText="1"/>
    </xf>
    <xf numFmtId="2" fontId="5" fillId="76" borderId="1" xfId="0" applyNumberFormat="1" applyFont="1" applyFill="1" applyBorder="1" applyAlignment="1">
      <alignment horizontal="center" vertical="center" wrapText="1"/>
    </xf>
    <xf numFmtId="2" fontId="5" fillId="77" borderId="16" xfId="0" applyNumberFormat="1" applyFont="1" applyFill="1" applyBorder="1" applyAlignment="1">
      <alignment horizontal="center" vertical="center" wrapText="1"/>
    </xf>
    <xf numFmtId="165" fontId="5" fillId="8" borderId="1" xfId="1" applyFont="1" applyFill="1" applyBorder="1" applyAlignment="1">
      <alignment horizontal="center" vertical="center" wrapText="1"/>
    </xf>
    <xf numFmtId="0" fontId="5" fillId="0" borderId="109" xfId="0" applyFont="1" applyBorder="1" applyAlignment="1">
      <alignment horizontal="center" vertical="center" wrapText="1"/>
    </xf>
    <xf numFmtId="0" fontId="5" fillId="0" borderId="109" xfId="0" applyFont="1" applyBorder="1" applyAlignment="1">
      <alignment vertical="center" wrapText="1"/>
    </xf>
    <xf numFmtId="2" fontId="5" fillId="0" borderId="109" xfId="0" applyNumberFormat="1" applyFont="1" applyBorder="1" applyAlignment="1">
      <alignment horizontal="center" vertical="center" wrapText="1"/>
    </xf>
    <xf numFmtId="165" fontId="5" fillId="2" borderId="109" xfId="1" applyFont="1" applyFill="1" applyBorder="1" applyAlignment="1">
      <alignment horizontal="center" vertical="center" wrapText="1"/>
    </xf>
    <xf numFmtId="165" fontId="5" fillId="2" borderId="109" xfId="1" applyFont="1" applyFill="1" applyBorder="1" applyAlignment="1">
      <alignment vertical="center" wrapText="1"/>
    </xf>
    <xf numFmtId="0" fontId="5" fillId="2" borderId="109" xfId="0" applyFont="1" applyFill="1" applyBorder="1" applyAlignment="1">
      <alignment vertical="center" wrapText="1"/>
    </xf>
    <xf numFmtId="165" fontId="5" fillId="0" borderId="109" xfId="1" applyFont="1" applyBorder="1" applyAlignment="1">
      <alignment horizontal="center" vertical="center" wrapText="1"/>
    </xf>
    <xf numFmtId="0" fontId="5" fillId="0" borderId="109" xfId="1" applyNumberFormat="1" applyFont="1" applyBorder="1" applyAlignment="1">
      <alignment horizontal="center" vertical="center" wrapText="1"/>
    </xf>
    <xf numFmtId="165" fontId="5" fillId="0" borderId="109" xfId="1" applyFont="1" applyBorder="1" applyAlignment="1">
      <alignment vertical="center" wrapText="1"/>
    </xf>
    <xf numFmtId="0" fontId="5" fillId="0" borderId="109" xfId="1" applyNumberFormat="1" applyFont="1" applyBorder="1" applyAlignment="1">
      <alignment horizontal="center" wrapText="1"/>
    </xf>
    <xf numFmtId="2" fontId="39" fillId="8" borderId="16" xfId="0" applyNumberFormat="1"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 xfId="0" applyFont="1" applyFill="1" applyBorder="1" applyAlignment="1">
      <alignment horizontal="center" vertical="center" wrapText="1"/>
    </xf>
    <xf numFmtId="2" fontId="5" fillId="0" borderId="16" xfId="0" applyNumberFormat="1" applyFont="1" applyBorder="1" applyAlignment="1">
      <alignment vertical="center" wrapText="1"/>
    </xf>
    <xf numFmtId="165" fontId="39" fillId="0" borderId="1" xfId="1" applyFont="1" applyBorder="1" applyAlignment="1">
      <alignment vertical="center" wrapText="1"/>
    </xf>
    <xf numFmtId="0" fontId="5" fillId="0" borderId="71" xfId="1" applyNumberFormat="1" applyFont="1" applyFill="1" applyBorder="1" applyAlignment="1">
      <alignment horizontal="center" vertical="center" wrapText="1"/>
    </xf>
    <xf numFmtId="0" fontId="5" fillId="0" borderId="88" xfId="1" applyNumberFormat="1" applyFont="1" applyFill="1" applyBorder="1" applyAlignment="1">
      <alignment horizontal="center" vertical="center" wrapText="1"/>
    </xf>
    <xf numFmtId="168" fontId="5" fillId="0" borderId="0" xfId="0" applyNumberFormat="1" applyFont="1" applyAlignment="1">
      <alignment vertical="center" wrapText="1"/>
    </xf>
    <xf numFmtId="0" fontId="32" fillId="0" borderId="109" xfId="0" applyFont="1" applyBorder="1" applyAlignment="1">
      <alignment horizontal="center" vertical="center" wrapText="1"/>
    </xf>
    <xf numFmtId="2" fontId="32" fillId="0" borderId="109" xfId="0" applyNumberFormat="1" applyFont="1" applyBorder="1" applyAlignment="1">
      <alignment horizontal="center" vertical="center" wrapText="1"/>
    </xf>
    <xf numFmtId="0" fontId="5" fillId="8" borderId="109" xfId="0" applyFont="1" applyFill="1" applyBorder="1" applyAlignment="1">
      <alignment horizontal="center" vertical="center" wrapText="1"/>
    </xf>
    <xf numFmtId="0" fontId="8" fillId="8" borderId="109" xfId="0" applyFont="1" applyFill="1" applyBorder="1" applyAlignment="1">
      <alignment horizontal="left" vertical="center" wrapText="1"/>
    </xf>
    <xf numFmtId="0" fontId="8" fillId="0" borderId="109" xfId="0" applyFont="1" applyBorder="1" applyAlignment="1">
      <alignment horizontal="left" vertical="center" wrapText="1"/>
    </xf>
    <xf numFmtId="0" fontId="0" fillId="0" borderId="109" xfId="0" applyBorder="1"/>
    <xf numFmtId="0" fontId="5" fillId="78" borderId="16" xfId="0" applyFont="1" applyFill="1" applyBorder="1" applyAlignment="1">
      <alignment horizontal="center" vertical="center" wrapText="1"/>
    </xf>
    <xf numFmtId="0" fontId="5" fillId="78" borderId="1" xfId="0" applyFont="1" applyFill="1" applyBorder="1" applyAlignment="1">
      <alignment horizontal="center" vertical="center" wrapText="1"/>
    </xf>
    <xf numFmtId="165" fontId="32" fillId="0" borderId="0" xfId="1" applyFont="1" applyAlignment="1">
      <alignment vertical="center" wrapText="1"/>
    </xf>
    <xf numFmtId="165" fontId="32" fillId="0" borderId="0" xfId="1" applyFont="1" applyAlignment="1">
      <alignment horizontal="center" vertical="center" wrapText="1"/>
    </xf>
    <xf numFmtId="165" fontId="8" fillId="0" borderId="105" xfId="1" applyFont="1" applyBorder="1" applyAlignment="1">
      <alignment horizontal="center" vertical="center" wrapText="1"/>
    </xf>
    <xf numFmtId="165" fontId="32" fillId="8" borderId="0" xfId="1" applyFont="1" applyFill="1" applyAlignment="1">
      <alignment vertical="center" wrapText="1"/>
    </xf>
    <xf numFmtId="2" fontId="32" fillId="45" borderId="1" xfId="0" applyNumberFormat="1" applyFont="1" applyFill="1" applyBorder="1" applyAlignment="1">
      <alignment horizontal="left" vertical="center" wrapText="1"/>
    </xf>
    <xf numFmtId="2" fontId="32" fillId="45" borderId="32" xfId="0" applyNumberFormat="1" applyFont="1" applyFill="1" applyBorder="1" applyAlignment="1">
      <alignment horizontal="center" vertical="center" wrapText="1"/>
    </xf>
    <xf numFmtId="2" fontId="32" fillId="45" borderId="33" xfId="0" applyNumberFormat="1" applyFont="1" applyFill="1" applyBorder="1" applyAlignment="1">
      <alignment horizontal="center" vertical="center" wrapText="1"/>
    </xf>
    <xf numFmtId="2" fontId="32" fillId="45" borderId="34" xfId="0" applyNumberFormat="1" applyFont="1" applyFill="1" applyBorder="1" applyAlignment="1">
      <alignment horizontal="center" vertical="center" wrapText="1"/>
    </xf>
    <xf numFmtId="1" fontId="35" fillId="75" borderId="32" xfId="0" applyNumberFormat="1" applyFont="1" applyFill="1" applyBorder="1" applyAlignment="1">
      <alignment horizontal="right" vertical="center" wrapText="1"/>
    </xf>
    <xf numFmtId="0" fontId="0" fillId="75" borderId="33" xfId="0" applyFill="1" applyBorder="1" applyAlignment="1">
      <alignment horizontal="right" vertical="center" wrapText="1"/>
    </xf>
    <xf numFmtId="0" fontId="0" fillId="75" borderId="34" xfId="0" applyFill="1" applyBorder="1" applyAlignment="1">
      <alignment horizontal="right" vertical="center" wrapText="1"/>
    </xf>
    <xf numFmtId="1" fontId="35" fillId="45" borderId="105" xfId="0" applyNumberFormat="1" applyFont="1" applyFill="1" applyBorder="1" applyAlignment="1">
      <alignment horizontal="right" vertical="center" wrapText="1"/>
    </xf>
    <xf numFmtId="0" fontId="0" fillId="0" borderId="105" xfId="0" applyBorder="1" applyAlignment="1">
      <alignment horizontal="right" vertical="center" wrapText="1"/>
    </xf>
    <xf numFmtId="1" fontId="35" fillId="8" borderId="105" xfId="0" applyNumberFormat="1" applyFont="1" applyFill="1" applyBorder="1" applyAlignment="1">
      <alignment horizontal="right" vertical="center" wrapText="1"/>
    </xf>
    <xf numFmtId="0" fontId="0" fillId="8" borderId="105" xfId="0" applyFill="1" applyBorder="1" applyAlignment="1">
      <alignment horizontal="right" vertical="center" wrapText="1"/>
    </xf>
    <xf numFmtId="0" fontId="35" fillId="0" borderId="0" xfId="0" applyFont="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2" fontId="35" fillId="45" borderId="1" xfId="0" applyNumberFormat="1" applyFont="1" applyFill="1" applyBorder="1" applyAlignment="1">
      <alignment horizontal="left" vertical="center" wrapText="1"/>
    </xf>
    <xf numFmtId="2" fontId="35" fillId="45" borderId="32" xfId="0" applyNumberFormat="1" applyFont="1" applyFill="1" applyBorder="1" applyAlignment="1">
      <alignment horizontal="center" vertical="center" wrapText="1"/>
    </xf>
    <xf numFmtId="2" fontId="35" fillId="45" borderId="33" xfId="0" applyNumberFormat="1" applyFont="1" applyFill="1" applyBorder="1" applyAlignment="1">
      <alignment horizontal="center" vertical="center" wrapText="1"/>
    </xf>
    <xf numFmtId="2" fontId="35" fillId="45" borderId="34" xfId="0" applyNumberFormat="1" applyFont="1" applyFill="1" applyBorder="1" applyAlignment="1">
      <alignment horizontal="center" vertical="center" wrapText="1"/>
    </xf>
    <xf numFmtId="0" fontId="3" fillId="8" borderId="71" xfId="0" applyFont="1" applyFill="1" applyBorder="1" applyAlignment="1">
      <alignment horizontal="left" vertical="center" wrapText="1"/>
    </xf>
    <xf numFmtId="0" fontId="0" fillId="4" borderId="16" xfId="0" applyFill="1" applyBorder="1" applyAlignment="1">
      <alignment horizontal="center" vertical="center" wrapText="1"/>
    </xf>
    <xf numFmtId="0" fontId="0" fillId="4" borderId="71" xfId="0" applyFill="1" applyBorder="1" applyAlignment="1">
      <alignment horizontal="center" vertical="center" wrapText="1"/>
    </xf>
    <xf numFmtId="0" fontId="0" fillId="0" borderId="2" xfId="0" applyBorder="1" applyAlignment="1">
      <alignment horizontal="center" vertical="center" wrapText="1"/>
    </xf>
    <xf numFmtId="0" fontId="32" fillId="0" borderId="105" xfId="0" applyFont="1" applyBorder="1" applyAlignment="1">
      <alignment horizontal="center" vertical="center" wrapText="1"/>
    </xf>
    <xf numFmtId="2" fontId="35" fillId="45" borderId="105" xfId="0" applyNumberFormat="1" applyFont="1" applyFill="1" applyBorder="1" applyAlignment="1">
      <alignment horizontal="center" vertical="center" wrapText="1"/>
    </xf>
    <xf numFmtId="2" fontId="32" fillId="45" borderId="91" xfId="0" applyNumberFormat="1" applyFont="1" applyFill="1" applyBorder="1" applyAlignment="1">
      <alignment horizontal="left" vertical="center" wrapText="1"/>
    </xf>
    <xf numFmtId="2" fontId="32" fillId="45" borderId="92" xfId="0" applyNumberFormat="1" applyFont="1" applyFill="1" applyBorder="1" applyAlignment="1">
      <alignment horizontal="left" vertical="center" wrapText="1"/>
    </xf>
    <xf numFmtId="2" fontId="32" fillId="45" borderId="88" xfId="0" applyNumberFormat="1" applyFont="1" applyFill="1" applyBorder="1" applyAlignment="1">
      <alignment horizontal="center" vertical="center" wrapText="1"/>
    </xf>
    <xf numFmtId="1" fontId="35" fillId="8" borderId="88" xfId="0" applyNumberFormat="1" applyFont="1" applyFill="1" applyBorder="1" applyAlignment="1">
      <alignment horizontal="right" vertical="center" wrapText="1"/>
    </xf>
    <xf numFmtId="0" fontId="0" fillId="8" borderId="88" xfId="0" applyFill="1" applyBorder="1" applyAlignment="1">
      <alignment horizontal="right" vertical="center" wrapText="1"/>
    </xf>
    <xf numFmtId="1" fontId="35" fillId="45" borderId="88" xfId="0" applyNumberFormat="1" applyFont="1" applyFill="1" applyBorder="1" applyAlignment="1">
      <alignment horizontal="right" vertical="center" wrapText="1"/>
    </xf>
    <xf numFmtId="0" fontId="0" fillId="0" borderId="88" xfId="0" applyBorder="1" applyAlignment="1">
      <alignment horizontal="right" vertical="center" wrapText="1"/>
    </xf>
    <xf numFmtId="1" fontId="68" fillId="8" borderId="105" xfId="0" applyNumberFormat="1" applyFont="1" applyFill="1" applyBorder="1" applyAlignment="1">
      <alignment horizontal="right" vertical="center" wrapText="1"/>
    </xf>
    <xf numFmtId="0" fontId="4" fillId="8" borderId="105" xfId="0" applyFont="1" applyFill="1" applyBorder="1" applyAlignment="1">
      <alignment horizontal="right" vertical="center" wrapText="1"/>
    </xf>
    <xf numFmtId="2" fontId="32" fillId="45" borderId="105" xfId="0" applyNumberFormat="1" applyFont="1" applyFill="1" applyBorder="1" applyAlignment="1">
      <alignment horizontal="left" vertical="center" wrapText="1"/>
    </xf>
    <xf numFmtId="2" fontId="32" fillId="45" borderId="105" xfId="0" applyNumberFormat="1" applyFont="1" applyFill="1" applyBorder="1" applyAlignment="1">
      <alignment horizontal="center" vertical="center" wrapText="1"/>
    </xf>
    <xf numFmtId="2" fontId="35" fillId="8" borderId="105" xfId="0" applyNumberFormat="1" applyFont="1" applyFill="1" applyBorder="1" applyAlignment="1">
      <alignment horizontal="center" vertical="center" wrapText="1"/>
    </xf>
    <xf numFmtId="0" fontId="35" fillId="0" borderId="105" xfId="0" applyFont="1" applyBorder="1" applyAlignment="1">
      <alignment horizontal="center" vertical="center"/>
    </xf>
    <xf numFmtId="2" fontId="35" fillId="35" borderId="105" xfId="0" applyNumberFormat="1" applyFont="1" applyFill="1" applyBorder="1" applyAlignment="1">
      <alignment horizontal="center" vertical="center" wrapText="1"/>
    </xf>
    <xf numFmtId="0" fontId="35" fillId="0" borderId="88" xfId="0" applyFont="1" applyBorder="1" applyAlignment="1">
      <alignment horizontal="center" vertical="center"/>
    </xf>
    <xf numFmtId="2" fontId="32" fillId="45" borderId="88" xfId="0" applyNumberFormat="1" applyFont="1" applyFill="1" applyBorder="1" applyAlignment="1">
      <alignment horizontal="left" vertical="center" wrapText="1"/>
    </xf>
    <xf numFmtId="2" fontId="35" fillId="45" borderId="88" xfId="0" applyNumberFormat="1" applyFont="1" applyFill="1" applyBorder="1" applyAlignment="1">
      <alignment horizontal="center" vertical="center" wrapText="1"/>
    </xf>
    <xf numFmtId="2" fontId="35" fillId="35" borderId="88" xfId="0" applyNumberFormat="1" applyFont="1" applyFill="1" applyBorder="1" applyAlignment="1">
      <alignment horizontal="center" vertical="center" wrapText="1"/>
    </xf>
    <xf numFmtId="0" fontId="34" fillId="0" borderId="2" xfId="95" applyFont="1" applyBorder="1" applyAlignment="1">
      <alignment horizontal="left" vertical="center" wrapText="1"/>
    </xf>
    <xf numFmtId="0" fontId="57" fillId="3" borderId="71" xfId="91" applyFont="1" applyFill="1" applyBorder="1" applyAlignment="1">
      <alignment horizontal="center" vertical="center"/>
    </xf>
    <xf numFmtId="0" fontId="59" fillId="3" borderId="71" xfId="95" applyFont="1" applyFill="1" applyBorder="1" applyAlignment="1">
      <alignment horizontal="center" vertical="center"/>
    </xf>
    <xf numFmtId="0" fontId="59" fillId="0" borderId="72" xfId="95" applyFont="1" applyBorder="1" applyAlignment="1">
      <alignment horizontal="left" vertical="center" wrapText="1"/>
    </xf>
    <xf numFmtId="0" fontId="59" fillId="0" borderId="73" xfId="95" applyFont="1" applyBorder="1" applyAlignment="1">
      <alignment horizontal="left" vertical="center" wrapText="1"/>
    </xf>
    <xf numFmtId="0" fontId="59" fillId="0" borderId="74" xfId="95" applyFont="1" applyBorder="1" applyAlignment="1">
      <alignment horizontal="left" vertical="center" wrapText="1"/>
    </xf>
    <xf numFmtId="0" fontId="3" fillId="8" borderId="105" xfId="0" applyFont="1" applyFill="1" applyBorder="1" applyAlignment="1">
      <alignment horizontal="center" vertical="center"/>
    </xf>
    <xf numFmtId="0" fontId="0" fillId="0" borderId="105" xfId="0" applyBorder="1" applyAlignment="1">
      <alignment horizontal="center" vertical="center"/>
    </xf>
    <xf numFmtId="165" fontId="2" fillId="0" borderId="106" xfId="1" applyFont="1" applyBorder="1" applyAlignment="1">
      <alignment horizontal="center" vertical="center"/>
    </xf>
    <xf numFmtId="165" fontId="2" fillId="0" borderId="107" xfId="1" applyFont="1" applyBorder="1" applyAlignment="1">
      <alignment horizontal="center" vertical="center"/>
    </xf>
    <xf numFmtId="165" fontId="2" fillId="0" borderId="108" xfId="1" applyFont="1" applyBorder="1" applyAlignment="1">
      <alignment horizontal="center" vertical="center"/>
    </xf>
    <xf numFmtId="0" fontId="0" fillId="8" borderId="106" xfId="0" applyFill="1" applyBorder="1" applyAlignment="1">
      <alignment horizontal="center" vertical="center" wrapText="1"/>
    </xf>
    <xf numFmtId="0" fontId="0" fillId="8" borderId="107" xfId="0" applyFill="1" applyBorder="1" applyAlignment="1">
      <alignment horizontal="center" vertical="center" wrapText="1"/>
    </xf>
    <xf numFmtId="0" fontId="0" fillId="8" borderId="108" xfId="0" applyFill="1" applyBorder="1" applyAlignment="1">
      <alignment horizontal="center" vertical="center" wrapText="1"/>
    </xf>
    <xf numFmtId="0" fontId="4" fillId="3" borderId="32" xfId="101" applyFont="1" applyFill="1" applyBorder="1" applyAlignment="1">
      <alignment horizontal="left" vertical="center"/>
    </xf>
    <xf numFmtId="0" fontId="4" fillId="3" borderId="73" xfId="101" applyFont="1" applyFill="1" applyBorder="1" applyAlignment="1">
      <alignment horizontal="left" vertical="center"/>
    </xf>
    <xf numFmtId="0" fontId="4" fillId="3" borderId="74" xfId="101" applyFont="1" applyFill="1" applyBorder="1" applyAlignment="1">
      <alignment horizontal="left" vertical="center"/>
    </xf>
    <xf numFmtId="165" fontId="2" fillId="10" borderId="32" xfId="212" applyFont="1" applyFill="1" applyBorder="1" applyAlignment="1">
      <alignment horizontal="right" vertical="center"/>
    </xf>
    <xf numFmtId="165" fontId="2" fillId="10" borderId="73" xfId="212" applyFont="1" applyFill="1" applyBorder="1" applyAlignment="1">
      <alignment horizontal="right" vertical="center"/>
    </xf>
    <xf numFmtId="0" fontId="5" fillId="4" borderId="1" xfId="0" applyFont="1" applyFill="1" applyBorder="1" applyAlignment="1">
      <alignment horizontal="center" vertical="center" wrapText="1"/>
    </xf>
    <xf numFmtId="165" fontId="5" fillId="4" borderId="1" xfId="1" applyFont="1" applyFill="1" applyBorder="1" applyAlignment="1">
      <alignment horizontal="center" vertical="center" wrapText="1"/>
    </xf>
    <xf numFmtId="165" fontId="5" fillId="4" borderId="71" xfId="1"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2" xfId="0" applyFont="1" applyFill="1" applyBorder="1" applyAlignment="1">
      <alignment horizontal="left" vertical="center" wrapText="1"/>
    </xf>
    <xf numFmtId="165" fontId="8" fillId="0" borderId="4" xfId="1" applyFont="1" applyBorder="1" applyAlignment="1">
      <alignment horizontal="center" vertical="center" wrapText="1"/>
    </xf>
    <xf numFmtId="165" fontId="8" fillId="0" borderId="5" xfId="1" applyFont="1" applyBorder="1" applyAlignment="1">
      <alignment horizontal="center" vertical="center" wrapText="1"/>
    </xf>
    <xf numFmtId="165" fontId="8" fillId="0" borderId="0" xfId="1" applyFont="1" applyFill="1" applyBorder="1" applyAlignment="1">
      <alignment horizontal="center" vertical="center" wrapText="1"/>
    </xf>
    <xf numFmtId="165" fontId="8" fillId="0" borderId="71" xfId="1" applyFont="1" applyBorder="1" applyAlignment="1">
      <alignment horizontal="center" vertical="center" wrapText="1"/>
    </xf>
    <xf numFmtId="0" fontId="5" fillId="4" borderId="16" xfId="0" applyFont="1" applyFill="1" applyBorder="1" applyAlignment="1">
      <alignment horizontal="center" vertical="center" wrapText="1"/>
    </xf>
    <xf numFmtId="165" fontId="5" fillId="4" borderId="16" xfId="1" applyFont="1" applyFill="1" applyBorder="1" applyAlignment="1">
      <alignment horizontal="center" vertical="center" wrapText="1"/>
    </xf>
    <xf numFmtId="0" fontId="8" fillId="8" borderId="2" xfId="0" applyFont="1" applyFill="1" applyBorder="1" applyAlignment="1">
      <alignment horizontal="left" vertical="center"/>
    </xf>
    <xf numFmtId="0" fontId="5" fillId="4" borderId="11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11" xfId="0" applyFont="1" applyFill="1" applyBorder="1" applyAlignment="1">
      <alignment horizontal="center" vertical="center" wrapText="1"/>
    </xf>
    <xf numFmtId="0" fontId="5" fillId="4" borderId="112" xfId="0" applyFont="1" applyFill="1" applyBorder="1" applyAlignment="1">
      <alignment horizontal="center" vertical="center" wrapText="1"/>
    </xf>
    <xf numFmtId="0" fontId="8" fillId="3" borderId="1" xfId="0" applyFont="1" applyFill="1" applyBorder="1" applyAlignment="1">
      <alignment horizontal="left" vertical="center" wrapText="1"/>
    </xf>
    <xf numFmtId="165" fontId="2" fillId="0" borderId="73" xfId="1" applyFont="1" applyFill="1" applyBorder="1" applyAlignment="1">
      <alignment horizontal="center" vertical="center" wrapText="1"/>
    </xf>
    <xf numFmtId="165" fontId="0" fillId="4" borderId="1" xfId="1" applyFont="1" applyFill="1" applyBorder="1" applyAlignment="1">
      <alignment horizontal="center" vertical="center" wrapText="1"/>
    </xf>
    <xf numFmtId="165" fontId="0" fillId="4" borderId="71" xfId="1" applyFont="1" applyFill="1" applyBorder="1" applyAlignment="1">
      <alignment horizontal="center" vertical="center" wrapText="1"/>
    </xf>
    <xf numFmtId="165" fontId="2" fillId="0" borderId="71" xfId="1" applyFont="1" applyBorder="1" applyAlignment="1">
      <alignment horizontal="center" vertical="center" wrapText="1"/>
    </xf>
    <xf numFmtId="0" fontId="0" fillId="4" borderId="1" xfId="0" applyFill="1" applyBorder="1" applyAlignment="1">
      <alignment horizontal="center" vertical="center" wrapText="1"/>
    </xf>
    <xf numFmtId="165" fontId="2" fillId="0" borderId="72" xfId="1" applyFont="1" applyBorder="1" applyAlignment="1">
      <alignment horizontal="center" vertical="center" wrapText="1"/>
    </xf>
    <xf numFmtId="165" fontId="2" fillId="0" borderId="74" xfId="1" applyFont="1" applyBorder="1" applyAlignment="1">
      <alignment horizontal="center" vertical="center" wrapText="1"/>
    </xf>
    <xf numFmtId="0" fontId="7" fillId="10" borderId="72" xfId="0" applyFont="1" applyFill="1" applyBorder="1" applyAlignment="1">
      <alignment horizontal="left" vertical="center" wrapText="1"/>
    </xf>
    <xf numFmtId="0" fontId="7" fillId="10" borderId="73" xfId="0" applyFont="1" applyFill="1" applyBorder="1" applyAlignment="1">
      <alignment horizontal="left" vertical="center" wrapText="1"/>
    </xf>
    <xf numFmtId="0" fontId="3" fillId="3" borderId="1" xfId="0" applyFont="1" applyFill="1" applyBorder="1" applyAlignment="1">
      <alignment horizontal="left" vertical="center" wrapText="1"/>
    </xf>
    <xf numFmtId="165" fontId="8" fillId="0" borderId="32" xfId="1" applyFont="1" applyBorder="1" applyAlignment="1">
      <alignment horizontal="center" vertical="center" wrapText="1"/>
    </xf>
    <xf numFmtId="165" fontId="8" fillId="0" borderId="34" xfId="1" applyFont="1" applyBorder="1" applyAlignment="1">
      <alignment horizontal="center" vertical="center" wrapText="1"/>
    </xf>
    <xf numFmtId="165" fontId="8" fillId="4" borderId="16" xfId="1" applyFont="1" applyFill="1" applyBorder="1" applyAlignment="1">
      <alignment horizontal="center" vertical="center" wrapText="1"/>
    </xf>
    <xf numFmtId="0" fontId="2" fillId="3" borderId="2" xfId="0" applyFont="1" applyFill="1" applyBorder="1" applyAlignment="1">
      <alignment horizontal="left" vertical="center" wrapText="1"/>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3" fillId="0" borderId="0" xfId="0" applyFont="1" applyAlignment="1">
      <alignment horizontal="left" vertical="center" wrapText="1"/>
    </xf>
    <xf numFmtId="165" fontId="5" fillId="4" borderId="60" xfId="1" applyFont="1" applyFill="1" applyBorder="1" applyAlignment="1">
      <alignment horizontal="center" vertical="center" wrapText="1"/>
    </xf>
    <xf numFmtId="165" fontId="5" fillId="4" borderId="23" xfId="1"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5" fillId="4" borderId="5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60" xfId="0" applyFont="1" applyFill="1" applyBorder="1" applyAlignment="1">
      <alignment horizontal="center" vertical="center" wrapText="1"/>
    </xf>
    <xf numFmtId="0" fontId="5" fillId="4" borderId="23" xfId="0" applyFont="1" applyFill="1" applyBorder="1" applyAlignment="1">
      <alignment horizontal="center" vertical="center" wrapText="1"/>
    </xf>
    <xf numFmtId="165" fontId="2" fillId="0" borderId="26" xfId="1" applyFont="1" applyBorder="1" applyAlignment="1">
      <alignment horizontal="right" vertical="center" wrapText="1"/>
    </xf>
    <xf numFmtId="165" fontId="2" fillId="0" borderId="48" xfId="1" applyFont="1" applyBorder="1" applyAlignment="1">
      <alignment horizontal="right" vertical="center" wrapText="1"/>
    </xf>
    <xf numFmtId="165" fontId="2" fillId="0" borderId="30" xfId="1" applyFont="1" applyBorder="1" applyAlignment="1">
      <alignment horizontal="right" vertical="center" wrapText="1"/>
    </xf>
    <xf numFmtId="165" fontId="2" fillId="0" borderId="31" xfId="1" applyFont="1" applyBorder="1" applyAlignment="1">
      <alignment horizontal="right" vertical="center" wrapText="1"/>
    </xf>
    <xf numFmtId="0" fontId="3" fillId="0" borderId="2" xfId="0" applyFont="1" applyBorder="1" applyAlignment="1">
      <alignment horizontal="left" vertical="center" wrapText="1"/>
    </xf>
    <xf numFmtId="0" fontId="0" fillId="4" borderId="35" xfId="0" applyFill="1" applyBorder="1" applyAlignment="1">
      <alignment horizontal="center" vertical="center" wrapText="1"/>
    </xf>
    <xf numFmtId="0" fontId="0" fillId="4" borderId="39"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4" xfId="0" applyFill="1" applyBorder="1" applyAlignment="1">
      <alignment horizontal="center" vertical="center" wrapText="1"/>
    </xf>
    <xf numFmtId="165" fontId="0" fillId="4" borderId="41" xfId="1" applyFont="1" applyFill="1" applyBorder="1" applyAlignment="1">
      <alignment horizontal="center" vertical="center" wrapText="1"/>
    </xf>
    <xf numFmtId="165" fontId="0" fillId="4" borderId="42" xfId="1" applyFont="1" applyFill="1" applyBorder="1" applyAlignment="1">
      <alignment horizontal="center" vertical="center" wrapText="1"/>
    </xf>
    <xf numFmtId="165" fontId="0" fillId="4" borderId="46" xfId="1" applyFont="1" applyFill="1" applyBorder="1" applyAlignment="1">
      <alignment horizontal="center" vertical="center" wrapText="1"/>
    </xf>
    <xf numFmtId="165" fontId="0" fillId="4" borderId="47" xfId="1" applyFont="1" applyFill="1" applyBorder="1" applyAlignment="1">
      <alignment horizontal="center" vertical="center" wrapText="1"/>
    </xf>
    <xf numFmtId="0" fontId="0" fillId="4" borderId="18" xfId="0" applyFill="1" applyBorder="1" applyAlignment="1">
      <alignment horizontal="center" vertical="center" wrapText="1"/>
    </xf>
    <xf numFmtId="165" fontId="0" fillId="4" borderId="19" xfId="1" applyFont="1" applyFill="1" applyBorder="1" applyAlignment="1">
      <alignment horizontal="center" vertical="center" wrapText="1"/>
    </xf>
    <xf numFmtId="165" fontId="0" fillId="4" borderId="24" xfId="1" applyFont="1" applyFill="1" applyBorder="1" applyAlignment="1">
      <alignment horizontal="center" vertical="center" wrapText="1"/>
    </xf>
    <xf numFmtId="165" fontId="0" fillId="4" borderId="36" xfId="1" applyFont="1" applyFill="1" applyBorder="1" applyAlignment="1">
      <alignment horizontal="center" vertical="center" wrapText="1"/>
    </xf>
    <xf numFmtId="165" fontId="0" fillId="4" borderId="37" xfId="1" applyFont="1" applyFill="1" applyBorder="1" applyAlignment="1">
      <alignment horizontal="center" vertical="center" wrapText="1"/>
    </xf>
    <xf numFmtId="165" fontId="0" fillId="4" borderId="21" xfId="1" applyFont="1" applyFill="1" applyBorder="1" applyAlignment="1">
      <alignment horizontal="center" vertical="center" wrapText="1"/>
    </xf>
    <xf numFmtId="165" fontId="0" fillId="4" borderId="38" xfId="1" applyFont="1" applyFill="1" applyBorder="1" applyAlignment="1">
      <alignment horizontal="center" vertical="center" wrapText="1"/>
    </xf>
    <xf numFmtId="165" fontId="0" fillId="4" borderId="40" xfId="1" applyFont="1" applyFill="1" applyBorder="1" applyAlignment="1">
      <alignment horizontal="center" vertical="center" wrapText="1"/>
    </xf>
    <xf numFmtId="0" fontId="0" fillId="4" borderId="23" xfId="0" applyFill="1" applyBorder="1" applyAlignment="1">
      <alignment horizontal="center" vertical="center" wrapText="1"/>
    </xf>
    <xf numFmtId="165" fontId="0" fillId="4" borderId="20" xfId="1" applyFont="1" applyFill="1" applyBorder="1" applyAlignment="1">
      <alignment horizontal="center" vertical="center" wrapText="1"/>
    </xf>
    <xf numFmtId="165" fontId="0" fillId="4" borderId="25" xfId="1" applyFont="1" applyFill="1" applyBorder="1" applyAlignment="1">
      <alignment horizontal="center" vertical="center" wrapText="1"/>
    </xf>
    <xf numFmtId="165" fontId="0" fillId="0" borderId="28" xfId="1" applyFont="1" applyBorder="1" applyAlignment="1">
      <alignment horizontal="center" vertical="center" wrapText="1"/>
    </xf>
    <xf numFmtId="0" fontId="0" fillId="4" borderId="17" xfId="0" applyFill="1" applyBorder="1" applyAlignment="1">
      <alignment horizontal="center" vertical="center" wrapText="1"/>
    </xf>
    <xf numFmtId="0" fontId="0" fillId="4" borderId="22" xfId="0" applyFill="1" applyBorder="1" applyAlignment="1">
      <alignment horizontal="center" vertical="center" wrapText="1"/>
    </xf>
    <xf numFmtId="0" fontId="3" fillId="0" borderId="0" xfId="0" applyFont="1" applyAlignment="1">
      <alignment horizontal="left" vertical="center"/>
    </xf>
    <xf numFmtId="0" fontId="0" fillId="4" borderId="1" xfId="0" applyFill="1" applyBorder="1" applyAlignment="1">
      <alignment horizontal="center" vertical="center"/>
    </xf>
    <xf numFmtId="0" fontId="8" fillId="3" borderId="88" xfId="0" applyFont="1" applyFill="1" applyBorder="1" applyAlignment="1">
      <alignment horizontal="left" vertical="center"/>
    </xf>
    <xf numFmtId="0" fontId="8" fillId="4" borderId="88" xfId="0" applyFont="1" applyFill="1" applyBorder="1" applyAlignment="1">
      <alignment horizontal="center" vertical="center"/>
    </xf>
    <xf numFmtId="165" fontId="8" fillId="0" borderId="0" xfId="1" applyFont="1" applyBorder="1" applyAlignment="1">
      <alignment horizontal="center" vertical="center"/>
    </xf>
    <xf numFmtId="0" fontId="8" fillId="74" borderId="88" xfId="0" applyFont="1" applyFill="1" applyBorder="1" applyAlignment="1">
      <alignment horizontal="center" vertical="center" wrapText="1"/>
    </xf>
    <xf numFmtId="165" fontId="8" fillId="74" borderId="89" xfId="1" applyFont="1" applyFill="1" applyBorder="1" applyAlignment="1">
      <alignment horizontal="center" vertical="center" wrapText="1"/>
    </xf>
    <xf numFmtId="165" fontId="8" fillId="74" borderId="90" xfId="1" applyFont="1" applyFill="1" applyBorder="1" applyAlignment="1">
      <alignment horizontal="center" vertical="center" wrapText="1"/>
    </xf>
  </cellXfs>
  <cellStyles count="324">
    <cellStyle name="20% - Accent1 2" xfId="2" xr:uid="{00000000-0005-0000-0000-000000000000}"/>
    <cellStyle name="20% - Accent1 3" xfId="3" xr:uid="{00000000-0005-0000-0000-000001000000}"/>
    <cellStyle name="20% - Accent2 2" xfId="4" xr:uid="{00000000-0005-0000-0000-000002000000}"/>
    <cellStyle name="20% - Accent2 3" xfId="5" xr:uid="{00000000-0005-0000-0000-000003000000}"/>
    <cellStyle name="20% - Accent3 2" xfId="6" xr:uid="{00000000-0005-0000-0000-000004000000}"/>
    <cellStyle name="20% - Accent3 3" xfId="7" xr:uid="{00000000-0005-0000-0000-000005000000}"/>
    <cellStyle name="20% - Accent4 2" xfId="8" xr:uid="{00000000-0005-0000-0000-000006000000}"/>
    <cellStyle name="20% - Accent4 3" xfId="9" xr:uid="{00000000-0005-0000-0000-000007000000}"/>
    <cellStyle name="20% - Accent5 2" xfId="10" xr:uid="{00000000-0005-0000-0000-000008000000}"/>
    <cellStyle name="20% - Accent5 3" xfId="11" xr:uid="{00000000-0005-0000-0000-000009000000}"/>
    <cellStyle name="20% - Accent6 2" xfId="12" xr:uid="{00000000-0005-0000-0000-00000A000000}"/>
    <cellStyle name="20% - Accent6 3" xfId="13" xr:uid="{00000000-0005-0000-0000-00000B000000}"/>
    <cellStyle name="20% - 强调文字颜色 1" xfId="132" xr:uid="{00000000-0005-0000-0000-00000C000000}"/>
    <cellStyle name="20% - 强调文字颜色 2" xfId="133" xr:uid="{00000000-0005-0000-0000-00000D000000}"/>
    <cellStyle name="20% - 强调文字颜色 3" xfId="134" xr:uid="{00000000-0005-0000-0000-00000E000000}"/>
    <cellStyle name="20% - 强调文字颜色 4" xfId="135" xr:uid="{00000000-0005-0000-0000-00000F000000}"/>
    <cellStyle name="20% - 强调文字颜色 5" xfId="136" xr:uid="{00000000-0005-0000-0000-000010000000}"/>
    <cellStyle name="20% - 强调文字颜色 6" xfId="137" xr:uid="{00000000-0005-0000-0000-000011000000}"/>
    <cellStyle name="40% - Accent1 2" xfId="14" xr:uid="{00000000-0005-0000-0000-000012000000}"/>
    <cellStyle name="40% - Accent1 3" xfId="15" xr:uid="{00000000-0005-0000-0000-000013000000}"/>
    <cellStyle name="40% - Accent2 2" xfId="16" xr:uid="{00000000-0005-0000-0000-000014000000}"/>
    <cellStyle name="40% - Accent2 3" xfId="17" xr:uid="{00000000-0005-0000-0000-000015000000}"/>
    <cellStyle name="40% - Accent3 2" xfId="18" xr:uid="{00000000-0005-0000-0000-000016000000}"/>
    <cellStyle name="40% - Accent3 3" xfId="19" xr:uid="{00000000-0005-0000-0000-000017000000}"/>
    <cellStyle name="40% - Accent4 2" xfId="20" xr:uid="{00000000-0005-0000-0000-000018000000}"/>
    <cellStyle name="40% - Accent4 3" xfId="21" xr:uid="{00000000-0005-0000-0000-000019000000}"/>
    <cellStyle name="40% - Accent5 2" xfId="22" xr:uid="{00000000-0005-0000-0000-00001A000000}"/>
    <cellStyle name="40% - Accent5 3" xfId="23" xr:uid="{00000000-0005-0000-0000-00001B000000}"/>
    <cellStyle name="40% - Accent6 2" xfId="24" xr:uid="{00000000-0005-0000-0000-00001C000000}"/>
    <cellStyle name="40% - Accent6 3" xfId="25" xr:uid="{00000000-0005-0000-0000-00001D000000}"/>
    <cellStyle name="40% - 强调文字颜色 1" xfId="138" xr:uid="{00000000-0005-0000-0000-00001E000000}"/>
    <cellStyle name="40% - 强调文字颜色 2" xfId="139" xr:uid="{00000000-0005-0000-0000-00001F000000}"/>
    <cellStyle name="40% - 强调文字颜色 3" xfId="140" xr:uid="{00000000-0005-0000-0000-000020000000}"/>
    <cellStyle name="40% - 强调文字颜色 4" xfId="141" xr:uid="{00000000-0005-0000-0000-000021000000}"/>
    <cellStyle name="40% - 强调文字颜色 5" xfId="142" xr:uid="{00000000-0005-0000-0000-000022000000}"/>
    <cellStyle name="40% - 强调文字颜色 6" xfId="143" xr:uid="{00000000-0005-0000-0000-000023000000}"/>
    <cellStyle name="60% - Accent1 2" xfId="26" xr:uid="{00000000-0005-0000-0000-000024000000}"/>
    <cellStyle name="60% - Accent1 3" xfId="27" xr:uid="{00000000-0005-0000-0000-000025000000}"/>
    <cellStyle name="60% - Accent2 2" xfId="28" xr:uid="{00000000-0005-0000-0000-000026000000}"/>
    <cellStyle name="60% - Accent2 3" xfId="29" xr:uid="{00000000-0005-0000-0000-000027000000}"/>
    <cellStyle name="60% - Accent3 2" xfId="30" xr:uid="{00000000-0005-0000-0000-000028000000}"/>
    <cellStyle name="60% - Accent3 3" xfId="31" xr:uid="{00000000-0005-0000-0000-000029000000}"/>
    <cellStyle name="60% - Accent4 2" xfId="32" xr:uid="{00000000-0005-0000-0000-00002A000000}"/>
    <cellStyle name="60% - Accent4 3" xfId="33" xr:uid="{00000000-0005-0000-0000-00002B000000}"/>
    <cellStyle name="60% - Accent5 2" xfId="34" xr:uid="{00000000-0005-0000-0000-00002C000000}"/>
    <cellStyle name="60% - Accent5 3" xfId="35" xr:uid="{00000000-0005-0000-0000-00002D000000}"/>
    <cellStyle name="60% - Accent6 2" xfId="36" xr:uid="{00000000-0005-0000-0000-00002E000000}"/>
    <cellStyle name="60% - Accent6 3" xfId="37" xr:uid="{00000000-0005-0000-0000-00002F000000}"/>
    <cellStyle name="60% - 强调文字颜色 1" xfId="144" xr:uid="{00000000-0005-0000-0000-000030000000}"/>
    <cellStyle name="60% - 强调文字颜色 2" xfId="145" xr:uid="{00000000-0005-0000-0000-000031000000}"/>
    <cellStyle name="60% - 强调文字颜色 3" xfId="146" xr:uid="{00000000-0005-0000-0000-000032000000}"/>
    <cellStyle name="60% - 强调文字颜色 4" xfId="147" xr:uid="{00000000-0005-0000-0000-000033000000}"/>
    <cellStyle name="60% - 强调文字颜色 5" xfId="148" xr:uid="{00000000-0005-0000-0000-000034000000}"/>
    <cellStyle name="60% - 强调文字颜色 6" xfId="149" xr:uid="{00000000-0005-0000-0000-000035000000}"/>
    <cellStyle name="75%" xfId="38" xr:uid="{00000000-0005-0000-0000-000036000000}"/>
    <cellStyle name="75% 2" xfId="150" xr:uid="{00000000-0005-0000-0000-000037000000}"/>
    <cellStyle name="75% 2 2" xfId="203" xr:uid="{00000000-0005-0000-0000-000038000000}"/>
    <cellStyle name="75% 2 3" xfId="224" xr:uid="{00000000-0005-0000-0000-000039000000}"/>
    <cellStyle name="75% 3" xfId="192" xr:uid="{00000000-0005-0000-0000-00003A000000}"/>
    <cellStyle name="75% 3 2" xfId="233" xr:uid="{00000000-0005-0000-0000-00003B000000}"/>
    <cellStyle name="75% 4" xfId="234" xr:uid="{00000000-0005-0000-0000-00003C000000}"/>
    <cellStyle name="75% 5" xfId="235" xr:uid="{00000000-0005-0000-0000-00003D000000}"/>
    <cellStyle name="75% 6" xfId="236" xr:uid="{00000000-0005-0000-0000-00003E000000}"/>
    <cellStyle name="75% 7" xfId="237" xr:uid="{00000000-0005-0000-0000-00003F000000}"/>
    <cellStyle name="75% 8" xfId="213" xr:uid="{00000000-0005-0000-0000-000040000000}"/>
    <cellStyle name="Accent1 2" xfId="39" xr:uid="{00000000-0005-0000-0000-000041000000}"/>
    <cellStyle name="Accent1 3" xfId="40" xr:uid="{00000000-0005-0000-0000-000042000000}"/>
    <cellStyle name="Accent2 2" xfId="41" xr:uid="{00000000-0005-0000-0000-000043000000}"/>
    <cellStyle name="Accent2 3" xfId="42" xr:uid="{00000000-0005-0000-0000-000044000000}"/>
    <cellStyle name="Accent3 2" xfId="43" xr:uid="{00000000-0005-0000-0000-000045000000}"/>
    <cellStyle name="Accent3 3" xfId="44" xr:uid="{00000000-0005-0000-0000-000046000000}"/>
    <cellStyle name="Accent4 2" xfId="45" xr:uid="{00000000-0005-0000-0000-000047000000}"/>
    <cellStyle name="Accent4 3" xfId="46" xr:uid="{00000000-0005-0000-0000-000048000000}"/>
    <cellStyle name="Accent5 2" xfId="47" xr:uid="{00000000-0005-0000-0000-000049000000}"/>
    <cellStyle name="Accent5 3" xfId="48" xr:uid="{00000000-0005-0000-0000-00004A000000}"/>
    <cellStyle name="Accent6 2" xfId="49" xr:uid="{00000000-0005-0000-0000-00004B000000}"/>
    <cellStyle name="Accent6 3" xfId="50" xr:uid="{00000000-0005-0000-0000-00004C000000}"/>
    <cellStyle name="Bad 2" xfId="51" xr:uid="{00000000-0005-0000-0000-00004D000000}"/>
    <cellStyle name="Bad 3" xfId="52" xr:uid="{00000000-0005-0000-0000-00004E000000}"/>
    <cellStyle name="Calculation 2" xfId="53" xr:uid="{00000000-0005-0000-0000-00004F000000}"/>
    <cellStyle name="Calculation 2 2" xfId="151" xr:uid="{00000000-0005-0000-0000-000050000000}"/>
    <cellStyle name="Calculation 2 2 2" xfId="204" xr:uid="{00000000-0005-0000-0000-000051000000}"/>
    <cellStyle name="Calculation 2 2 3" xfId="225" xr:uid="{00000000-0005-0000-0000-000052000000}"/>
    <cellStyle name="Calculation 2 3" xfId="193" xr:uid="{00000000-0005-0000-0000-000053000000}"/>
    <cellStyle name="Calculation 2 3 2" xfId="238" xr:uid="{00000000-0005-0000-0000-000054000000}"/>
    <cellStyle name="Calculation 2 4" xfId="239" xr:uid="{00000000-0005-0000-0000-000055000000}"/>
    <cellStyle name="Calculation 2 5" xfId="240" xr:uid="{00000000-0005-0000-0000-000056000000}"/>
    <cellStyle name="Calculation 2 6" xfId="241" xr:uid="{00000000-0005-0000-0000-000057000000}"/>
    <cellStyle name="Calculation 2 7" xfId="242" xr:uid="{00000000-0005-0000-0000-000058000000}"/>
    <cellStyle name="Calculation 2 8" xfId="214" xr:uid="{00000000-0005-0000-0000-000059000000}"/>
    <cellStyle name="Calculation 3" xfId="54" xr:uid="{00000000-0005-0000-0000-00005A000000}"/>
    <cellStyle name="Calculation 3 2" xfId="194" xr:uid="{00000000-0005-0000-0000-00005B000000}"/>
    <cellStyle name="Calculation 3 2 2" xfId="243" xr:uid="{00000000-0005-0000-0000-00005C000000}"/>
    <cellStyle name="Calculation 3 3" xfId="244" xr:uid="{00000000-0005-0000-0000-00005D000000}"/>
    <cellStyle name="Calculation 3 4" xfId="245" xr:uid="{00000000-0005-0000-0000-00005E000000}"/>
    <cellStyle name="Calculation 3 5" xfId="246" xr:uid="{00000000-0005-0000-0000-00005F000000}"/>
    <cellStyle name="Calculation 3 6" xfId="247" xr:uid="{00000000-0005-0000-0000-000060000000}"/>
    <cellStyle name="Calculation 3 7" xfId="248" xr:uid="{00000000-0005-0000-0000-000061000000}"/>
    <cellStyle name="Calculation 3 8" xfId="215" xr:uid="{00000000-0005-0000-0000-000062000000}"/>
    <cellStyle name="Check Cell 2" xfId="55" xr:uid="{00000000-0005-0000-0000-000063000000}"/>
    <cellStyle name="Check Cell 3" xfId="56" xr:uid="{00000000-0005-0000-0000-000064000000}"/>
    <cellStyle name="Comma" xfId="1" builtinId="3"/>
    <cellStyle name="Comma 10" xfId="152" xr:uid="{00000000-0005-0000-0000-000066000000}"/>
    <cellStyle name="Comma 11" xfId="153" xr:uid="{00000000-0005-0000-0000-000067000000}"/>
    <cellStyle name="Comma 14" xfId="57" xr:uid="{00000000-0005-0000-0000-000068000000}"/>
    <cellStyle name="Comma 2" xfId="58" xr:uid="{00000000-0005-0000-0000-000069000000}"/>
    <cellStyle name="Comma 2 10" xfId="249" xr:uid="{00000000-0005-0000-0000-00006A000000}"/>
    <cellStyle name="Comma 2 2" xfId="59" xr:uid="{00000000-0005-0000-0000-00006B000000}"/>
    <cellStyle name="Comma 2 2 2" xfId="128" xr:uid="{00000000-0005-0000-0000-00006C000000}"/>
    <cellStyle name="Comma 2 2 2 2" xfId="191" xr:uid="{00000000-0005-0000-0000-00006D000000}"/>
    <cellStyle name="Comma 2 2 2 2 2" xfId="250" xr:uid="{00000000-0005-0000-0000-00006E000000}"/>
    <cellStyle name="Comma 2 2 3" xfId="154" xr:uid="{00000000-0005-0000-0000-00006F000000}"/>
    <cellStyle name="Comma 2 3" xfId="60" xr:uid="{00000000-0005-0000-0000-000070000000}"/>
    <cellStyle name="Comma 2 3 2" xfId="251" xr:uid="{00000000-0005-0000-0000-000071000000}"/>
    <cellStyle name="Comma 2 4" xfId="129" xr:uid="{00000000-0005-0000-0000-000072000000}"/>
    <cellStyle name="Comma 2 5" xfId="252" xr:uid="{00000000-0005-0000-0000-000073000000}"/>
    <cellStyle name="Comma 2 6" xfId="253" xr:uid="{00000000-0005-0000-0000-000074000000}"/>
    <cellStyle name="Comma 2 7" xfId="254" xr:uid="{00000000-0005-0000-0000-000075000000}"/>
    <cellStyle name="Comma 2 8" xfId="255" xr:uid="{00000000-0005-0000-0000-000076000000}"/>
    <cellStyle name="Comma 2 9" xfId="256" xr:uid="{00000000-0005-0000-0000-000077000000}"/>
    <cellStyle name="Comma 3" xfId="61" xr:uid="{00000000-0005-0000-0000-000078000000}"/>
    <cellStyle name="Comma 3 2" xfId="62" xr:uid="{00000000-0005-0000-0000-000079000000}"/>
    <cellStyle name="Comma 3 2 2" xfId="322" xr:uid="{00000000-0005-0000-0000-00007A000000}"/>
    <cellStyle name="Comma 4" xfId="63" xr:uid="{00000000-0005-0000-0000-00007B000000}"/>
    <cellStyle name="Comma 4 2" xfId="155" xr:uid="{00000000-0005-0000-0000-00007C000000}"/>
    <cellStyle name="Comma 4 3" xfId="257" xr:uid="{00000000-0005-0000-0000-00007D000000}"/>
    <cellStyle name="Comma 5" xfId="64" xr:uid="{00000000-0005-0000-0000-00007E000000}"/>
    <cellStyle name="Comma 6" xfId="65" xr:uid="{00000000-0005-0000-0000-00007F000000}"/>
    <cellStyle name="Comma 6 2" xfId="156" xr:uid="{00000000-0005-0000-0000-000080000000}"/>
    <cellStyle name="Comma 7" xfId="66" xr:uid="{00000000-0005-0000-0000-000081000000}"/>
    <cellStyle name="Comma 7 2" xfId="67" xr:uid="{00000000-0005-0000-0000-000082000000}"/>
    <cellStyle name="Comma 8" xfId="68" xr:uid="{00000000-0005-0000-0000-000083000000}"/>
    <cellStyle name="Comma 8 2" xfId="157" xr:uid="{00000000-0005-0000-0000-000084000000}"/>
    <cellStyle name="Comma 8 3" xfId="212" xr:uid="{00000000-0005-0000-0000-000085000000}"/>
    <cellStyle name="Comma 9" xfId="69" xr:uid="{00000000-0005-0000-0000-000086000000}"/>
    <cellStyle name="Currency 2" xfId="70" xr:uid="{00000000-0005-0000-0000-000087000000}"/>
    <cellStyle name="Explanatory Text 2" xfId="71" xr:uid="{00000000-0005-0000-0000-000088000000}"/>
    <cellStyle name="Explanatory Text 3" xfId="72" xr:uid="{00000000-0005-0000-0000-000089000000}"/>
    <cellStyle name="Good 2" xfId="73" xr:uid="{00000000-0005-0000-0000-00008A000000}"/>
    <cellStyle name="Good 3" xfId="74" xr:uid="{00000000-0005-0000-0000-00008B000000}"/>
    <cellStyle name="Heading 1 2" xfId="75" xr:uid="{00000000-0005-0000-0000-00008C000000}"/>
    <cellStyle name="Heading 1 3" xfId="76" xr:uid="{00000000-0005-0000-0000-00008D000000}"/>
    <cellStyle name="Heading 2 2" xfId="77" xr:uid="{00000000-0005-0000-0000-00008E000000}"/>
    <cellStyle name="Heading 2 3" xfId="78" xr:uid="{00000000-0005-0000-0000-00008F000000}"/>
    <cellStyle name="Heading 3 2" xfId="79" xr:uid="{00000000-0005-0000-0000-000090000000}"/>
    <cellStyle name="Heading 3 3" xfId="80" xr:uid="{00000000-0005-0000-0000-000091000000}"/>
    <cellStyle name="Heading 4 2" xfId="81" xr:uid="{00000000-0005-0000-0000-000092000000}"/>
    <cellStyle name="Heading 4 3" xfId="82" xr:uid="{00000000-0005-0000-0000-000093000000}"/>
    <cellStyle name="Hyperlink 2" xfId="83" xr:uid="{00000000-0005-0000-0000-000094000000}"/>
    <cellStyle name="Hyperlink 3" xfId="258" xr:uid="{00000000-0005-0000-0000-000095000000}"/>
    <cellStyle name="Input 2" xfId="84" xr:uid="{00000000-0005-0000-0000-000096000000}"/>
    <cellStyle name="Input 2 2" xfId="158" xr:uid="{00000000-0005-0000-0000-000097000000}"/>
    <cellStyle name="Input 2 2 2" xfId="205" xr:uid="{00000000-0005-0000-0000-000098000000}"/>
    <cellStyle name="Input 2 2 3" xfId="226" xr:uid="{00000000-0005-0000-0000-000099000000}"/>
    <cellStyle name="Input 2 3" xfId="195" xr:uid="{00000000-0005-0000-0000-00009A000000}"/>
    <cellStyle name="Input 2 3 2" xfId="259" xr:uid="{00000000-0005-0000-0000-00009B000000}"/>
    <cellStyle name="Input 2 4" xfId="260" xr:uid="{00000000-0005-0000-0000-00009C000000}"/>
    <cellStyle name="Input 2 5" xfId="261" xr:uid="{00000000-0005-0000-0000-00009D000000}"/>
    <cellStyle name="Input 2 6" xfId="262" xr:uid="{00000000-0005-0000-0000-00009E000000}"/>
    <cellStyle name="Input 2 7" xfId="263" xr:uid="{00000000-0005-0000-0000-00009F000000}"/>
    <cellStyle name="Input 2 8" xfId="216" xr:uid="{00000000-0005-0000-0000-0000A0000000}"/>
    <cellStyle name="Input 3" xfId="85" xr:uid="{00000000-0005-0000-0000-0000A1000000}"/>
    <cellStyle name="Input 3 2" xfId="196" xr:uid="{00000000-0005-0000-0000-0000A2000000}"/>
    <cellStyle name="Input 3 2 2" xfId="264" xr:uid="{00000000-0005-0000-0000-0000A3000000}"/>
    <cellStyle name="Input 3 3" xfId="265" xr:uid="{00000000-0005-0000-0000-0000A4000000}"/>
    <cellStyle name="Input 3 4" xfId="266" xr:uid="{00000000-0005-0000-0000-0000A5000000}"/>
    <cellStyle name="Input 3 5" xfId="267" xr:uid="{00000000-0005-0000-0000-0000A6000000}"/>
    <cellStyle name="Input 3 6" xfId="268" xr:uid="{00000000-0005-0000-0000-0000A7000000}"/>
    <cellStyle name="Input 3 7" xfId="269" xr:uid="{00000000-0005-0000-0000-0000A8000000}"/>
    <cellStyle name="Input 3 8" xfId="217" xr:uid="{00000000-0005-0000-0000-0000A9000000}"/>
    <cellStyle name="Linked Cell 2" xfId="86" xr:uid="{00000000-0005-0000-0000-0000AA000000}"/>
    <cellStyle name="Linked Cell 3" xfId="87" xr:uid="{00000000-0005-0000-0000-0000AB000000}"/>
    <cellStyle name="Neutral 2" xfId="88" xr:uid="{00000000-0005-0000-0000-0000AC000000}"/>
    <cellStyle name="Neutral 3" xfId="89" xr:uid="{00000000-0005-0000-0000-0000AD000000}"/>
    <cellStyle name="Normal" xfId="0" builtinId="0"/>
    <cellStyle name="Normal 10" xfId="90" xr:uid="{00000000-0005-0000-0000-0000AF000000}"/>
    <cellStyle name="Normal 10 2" xfId="91" xr:uid="{00000000-0005-0000-0000-0000B0000000}"/>
    <cellStyle name="Normal 10 2 2" xfId="270" xr:uid="{00000000-0005-0000-0000-0000B1000000}"/>
    <cellStyle name="Normal 10 3" xfId="271" xr:uid="{00000000-0005-0000-0000-0000B2000000}"/>
    <cellStyle name="Normal 11" xfId="92" xr:uid="{00000000-0005-0000-0000-0000B3000000}"/>
    <cellStyle name="Normal 11 2" xfId="190" xr:uid="{00000000-0005-0000-0000-0000B4000000}"/>
    <cellStyle name="Normal 11 2 2" xfId="272" xr:uid="{00000000-0005-0000-0000-0000B5000000}"/>
    <cellStyle name="Normal 12" xfId="93" xr:uid="{00000000-0005-0000-0000-0000B6000000}"/>
    <cellStyle name="Normal 13" xfId="94" xr:uid="{00000000-0005-0000-0000-0000B7000000}"/>
    <cellStyle name="Normal 14" xfId="130" xr:uid="{00000000-0005-0000-0000-0000B8000000}"/>
    <cellStyle name="Normal 2" xfId="95" xr:uid="{00000000-0005-0000-0000-0000B9000000}"/>
    <cellStyle name="Normal 2 10" xfId="273" xr:uid="{00000000-0005-0000-0000-0000BA000000}"/>
    <cellStyle name="Normal 2 11" xfId="274" xr:uid="{00000000-0005-0000-0000-0000BB000000}"/>
    <cellStyle name="Normal 2 2" xfId="96" xr:uid="{00000000-0005-0000-0000-0000BC000000}"/>
    <cellStyle name="Normal 2 2 2" xfId="97" xr:uid="{00000000-0005-0000-0000-0000BD000000}"/>
    <cellStyle name="Normal 2 2 4" xfId="323" xr:uid="{00000000-0005-0000-0000-0000BE000000}"/>
    <cellStyle name="Normal 2 3" xfId="98" xr:uid="{00000000-0005-0000-0000-0000BF000000}"/>
    <cellStyle name="Normal 2 4" xfId="99" xr:uid="{00000000-0005-0000-0000-0000C0000000}"/>
    <cellStyle name="Normal 2 4 2" xfId="275" xr:uid="{00000000-0005-0000-0000-0000C1000000}"/>
    <cellStyle name="Normal 2 4 3" xfId="276" xr:uid="{00000000-0005-0000-0000-0000C2000000}"/>
    <cellStyle name="Normal 2 5" xfId="100" xr:uid="{00000000-0005-0000-0000-0000C3000000}"/>
    <cellStyle name="Normal 2 6" xfId="277" xr:uid="{00000000-0005-0000-0000-0000C4000000}"/>
    <cellStyle name="Normal 2 7" xfId="278" xr:uid="{00000000-0005-0000-0000-0000C5000000}"/>
    <cellStyle name="Normal 2 8" xfId="279" xr:uid="{00000000-0005-0000-0000-0000C6000000}"/>
    <cellStyle name="Normal 2 9" xfId="280" xr:uid="{00000000-0005-0000-0000-0000C7000000}"/>
    <cellStyle name="Normal 3" xfId="101" xr:uid="{00000000-0005-0000-0000-0000C8000000}"/>
    <cellStyle name="Normal 3 2" xfId="102" xr:uid="{00000000-0005-0000-0000-0000C9000000}"/>
    <cellStyle name="Normal 3 3" xfId="103" xr:uid="{00000000-0005-0000-0000-0000CA000000}"/>
    <cellStyle name="Normal 3 3 2" xfId="104" xr:uid="{00000000-0005-0000-0000-0000CB000000}"/>
    <cellStyle name="Normal 4" xfId="105" xr:uid="{00000000-0005-0000-0000-0000CC000000}"/>
    <cellStyle name="Normal 4 2" xfId="106" xr:uid="{00000000-0005-0000-0000-0000CD000000}"/>
    <cellStyle name="Normal 4 2 2" xfId="281" xr:uid="{00000000-0005-0000-0000-0000CE000000}"/>
    <cellStyle name="Normal 4 3" xfId="159" xr:uid="{00000000-0005-0000-0000-0000CF000000}"/>
    <cellStyle name="Normal 5" xfId="107" xr:uid="{00000000-0005-0000-0000-0000D0000000}"/>
    <cellStyle name="Normal 5 2" xfId="108" xr:uid="{00000000-0005-0000-0000-0000D1000000}"/>
    <cellStyle name="Normal 5 2 2" xfId="282" xr:uid="{00000000-0005-0000-0000-0000D2000000}"/>
    <cellStyle name="Normal 5 3" xfId="109" xr:uid="{00000000-0005-0000-0000-0000D3000000}"/>
    <cellStyle name="Normal 5 3 2" xfId="283" xr:uid="{00000000-0005-0000-0000-0000D4000000}"/>
    <cellStyle name="Normal 5 4" xfId="110" xr:uid="{00000000-0005-0000-0000-0000D5000000}"/>
    <cellStyle name="Normal 6" xfId="111" xr:uid="{00000000-0005-0000-0000-0000D6000000}"/>
    <cellStyle name="Normal 6 2" xfId="112" xr:uid="{00000000-0005-0000-0000-0000D7000000}"/>
    <cellStyle name="Normal 6 3" xfId="113" xr:uid="{00000000-0005-0000-0000-0000D8000000}"/>
    <cellStyle name="Normal 7" xfId="114" xr:uid="{00000000-0005-0000-0000-0000D9000000}"/>
    <cellStyle name="Normal 7 2" xfId="284" xr:uid="{00000000-0005-0000-0000-0000DA000000}"/>
    <cellStyle name="Normal 7 3" xfId="285" xr:uid="{00000000-0005-0000-0000-0000DB000000}"/>
    <cellStyle name="Normal 7 4" xfId="286" xr:uid="{00000000-0005-0000-0000-0000DC000000}"/>
    <cellStyle name="Normal 8" xfId="115" xr:uid="{00000000-0005-0000-0000-0000DD000000}"/>
    <cellStyle name="Normal 8 2" xfId="116" xr:uid="{00000000-0005-0000-0000-0000DE000000}"/>
    <cellStyle name="Normal 9" xfId="117" xr:uid="{00000000-0005-0000-0000-0000DF000000}"/>
    <cellStyle name="Normal 9 2" xfId="131" xr:uid="{00000000-0005-0000-0000-0000E0000000}"/>
    <cellStyle name="Normal 9 3" xfId="287" xr:uid="{00000000-0005-0000-0000-0000E1000000}"/>
    <cellStyle name="Note 2" xfId="118" xr:uid="{00000000-0005-0000-0000-0000E2000000}"/>
    <cellStyle name="Note 2 2" xfId="160" xr:uid="{00000000-0005-0000-0000-0000E3000000}"/>
    <cellStyle name="Note 2 2 2" xfId="206" xr:uid="{00000000-0005-0000-0000-0000E4000000}"/>
    <cellStyle name="Note 2 2 3" xfId="227" xr:uid="{00000000-0005-0000-0000-0000E5000000}"/>
    <cellStyle name="Note 2 3" xfId="197" xr:uid="{00000000-0005-0000-0000-0000E6000000}"/>
    <cellStyle name="Note 2 3 2" xfId="288" xr:uid="{00000000-0005-0000-0000-0000E7000000}"/>
    <cellStyle name="Note 2 4" xfId="289" xr:uid="{00000000-0005-0000-0000-0000E8000000}"/>
    <cellStyle name="Note 2 5" xfId="290" xr:uid="{00000000-0005-0000-0000-0000E9000000}"/>
    <cellStyle name="Note 2 6" xfId="291" xr:uid="{00000000-0005-0000-0000-0000EA000000}"/>
    <cellStyle name="Note 2 7" xfId="292" xr:uid="{00000000-0005-0000-0000-0000EB000000}"/>
    <cellStyle name="Note 2 8" xfId="218" xr:uid="{00000000-0005-0000-0000-0000EC000000}"/>
    <cellStyle name="Note 3" xfId="119" xr:uid="{00000000-0005-0000-0000-0000ED000000}"/>
    <cellStyle name="Note 3 2" xfId="198" xr:uid="{00000000-0005-0000-0000-0000EE000000}"/>
    <cellStyle name="Note 3 2 2" xfId="293" xr:uid="{00000000-0005-0000-0000-0000EF000000}"/>
    <cellStyle name="Note 3 3" xfId="294" xr:uid="{00000000-0005-0000-0000-0000F0000000}"/>
    <cellStyle name="Note 3 4" xfId="295" xr:uid="{00000000-0005-0000-0000-0000F1000000}"/>
    <cellStyle name="Note 3 5" xfId="296" xr:uid="{00000000-0005-0000-0000-0000F2000000}"/>
    <cellStyle name="Note 3 6" xfId="297" xr:uid="{00000000-0005-0000-0000-0000F3000000}"/>
    <cellStyle name="Note 3 7" xfId="298" xr:uid="{00000000-0005-0000-0000-0000F4000000}"/>
    <cellStyle name="Note 3 8" xfId="219" xr:uid="{00000000-0005-0000-0000-0000F5000000}"/>
    <cellStyle name="Note 4" xfId="161" xr:uid="{00000000-0005-0000-0000-0000F6000000}"/>
    <cellStyle name="Note 4 2" xfId="207" xr:uid="{00000000-0005-0000-0000-0000F7000000}"/>
    <cellStyle name="Note 4 3" xfId="228" xr:uid="{00000000-0005-0000-0000-0000F8000000}"/>
    <cellStyle name="Output 2" xfId="120" xr:uid="{00000000-0005-0000-0000-0000F9000000}"/>
    <cellStyle name="Output 2 2" xfId="162" xr:uid="{00000000-0005-0000-0000-0000FA000000}"/>
    <cellStyle name="Output 2 2 2" xfId="208" xr:uid="{00000000-0005-0000-0000-0000FB000000}"/>
    <cellStyle name="Output 2 2 3" xfId="229" xr:uid="{00000000-0005-0000-0000-0000FC000000}"/>
    <cellStyle name="Output 2 3" xfId="199" xr:uid="{00000000-0005-0000-0000-0000FD000000}"/>
    <cellStyle name="Output 2 3 2" xfId="299" xr:uid="{00000000-0005-0000-0000-0000FE000000}"/>
    <cellStyle name="Output 2 4" xfId="300" xr:uid="{00000000-0005-0000-0000-0000FF000000}"/>
    <cellStyle name="Output 2 5" xfId="301" xr:uid="{00000000-0005-0000-0000-000000010000}"/>
    <cellStyle name="Output 2 6" xfId="302" xr:uid="{00000000-0005-0000-0000-000001010000}"/>
    <cellStyle name="Output 2 7" xfId="303" xr:uid="{00000000-0005-0000-0000-000002010000}"/>
    <cellStyle name="Output 2 8" xfId="220" xr:uid="{00000000-0005-0000-0000-000003010000}"/>
    <cellStyle name="Output 3" xfId="121" xr:uid="{00000000-0005-0000-0000-000004010000}"/>
    <cellStyle name="Output 3 2" xfId="200" xr:uid="{00000000-0005-0000-0000-000005010000}"/>
    <cellStyle name="Output 3 2 2" xfId="304" xr:uid="{00000000-0005-0000-0000-000006010000}"/>
    <cellStyle name="Output 3 3" xfId="305" xr:uid="{00000000-0005-0000-0000-000007010000}"/>
    <cellStyle name="Output 3 4" xfId="306" xr:uid="{00000000-0005-0000-0000-000008010000}"/>
    <cellStyle name="Output 3 5" xfId="307" xr:uid="{00000000-0005-0000-0000-000009010000}"/>
    <cellStyle name="Output 3 6" xfId="308" xr:uid="{00000000-0005-0000-0000-00000A010000}"/>
    <cellStyle name="Output 3 7" xfId="309" xr:uid="{00000000-0005-0000-0000-00000B010000}"/>
    <cellStyle name="Output 3 8" xfId="221" xr:uid="{00000000-0005-0000-0000-00000C010000}"/>
    <cellStyle name="Output 4" xfId="163" xr:uid="{00000000-0005-0000-0000-00000D010000}"/>
    <cellStyle name="Output 4 2" xfId="209" xr:uid="{00000000-0005-0000-0000-00000E010000}"/>
    <cellStyle name="Output 4 3" xfId="230" xr:uid="{00000000-0005-0000-0000-00000F010000}"/>
    <cellStyle name="Percent 2" xfId="164" xr:uid="{00000000-0005-0000-0000-000010010000}"/>
    <cellStyle name="Percent 3" xfId="310" xr:uid="{00000000-0005-0000-0000-000011010000}"/>
    <cellStyle name="Title 2" xfId="122" xr:uid="{00000000-0005-0000-0000-000012010000}"/>
    <cellStyle name="Title 3" xfId="123" xr:uid="{00000000-0005-0000-0000-000013010000}"/>
    <cellStyle name="Total 2" xfId="124" xr:uid="{00000000-0005-0000-0000-000014010000}"/>
    <cellStyle name="Total 2 2" xfId="165" xr:uid="{00000000-0005-0000-0000-000015010000}"/>
    <cellStyle name="Total 2 2 2" xfId="210" xr:uid="{00000000-0005-0000-0000-000016010000}"/>
    <cellStyle name="Total 2 2 3" xfId="231" xr:uid="{00000000-0005-0000-0000-000017010000}"/>
    <cellStyle name="Total 2 3" xfId="201" xr:uid="{00000000-0005-0000-0000-000018010000}"/>
    <cellStyle name="Total 2 3 2" xfId="311" xr:uid="{00000000-0005-0000-0000-000019010000}"/>
    <cellStyle name="Total 2 4" xfId="312" xr:uid="{00000000-0005-0000-0000-00001A010000}"/>
    <cellStyle name="Total 2 5" xfId="313" xr:uid="{00000000-0005-0000-0000-00001B010000}"/>
    <cellStyle name="Total 2 6" xfId="314" xr:uid="{00000000-0005-0000-0000-00001C010000}"/>
    <cellStyle name="Total 2 7" xfId="315" xr:uid="{00000000-0005-0000-0000-00001D010000}"/>
    <cellStyle name="Total 2 8" xfId="222" xr:uid="{00000000-0005-0000-0000-00001E010000}"/>
    <cellStyle name="Total 3" xfId="125" xr:uid="{00000000-0005-0000-0000-00001F010000}"/>
    <cellStyle name="Total 3 2" xfId="202" xr:uid="{00000000-0005-0000-0000-000020010000}"/>
    <cellStyle name="Total 3 2 2" xfId="316" xr:uid="{00000000-0005-0000-0000-000021010000}"/>
    <cellStyle name="Total 3 3" xfId="317" xr:uid="{00000000-0005-0000-0000-000022010000}"/>
    <cellStyle name="Total 3 4" xfId="318" xr:uid="{00000000-0005-0000-0000-000023010000}"/>
    <cellStyle name="Total 3 5" xfId="319" xr:uid="{00000000-0005-0000-0000-000024010000}"/>
    <cellStyle name="Total 3 6" xfId="320" xr:uid="{00000000-0005-0000-0000-000025010000}"/>
    <cellStyle name="Total 3 7" xfId="321" xr:uid="{00000000-0005-0000-0000-000026010000}"/>
    <cellStyle name="Total 3 8" xfId="223" xr:uid="{00000000-0005-0000-0000-000027010000}"/>
    <cellStyle name="Total 4" xfId="166" xr:uid="{00000000-0005-0000-0000-000028010000}"/>
    <cellStyle name="Total 4 2" xfId="211" xr:uid="{00000000-0005-0000-0000-000029010000}"/>
    <cellStyle name="Total 4 3" xfId="232" xr:uid="{00000000-0005-0000-0000-00002A010000}"/>
    <cellStyle name="Warning Text 2" xfId="126" xr:uid="{00000000-0005-0000-0000-00002B010000}"/>
    <cellStyle name="Warning Text 3" xfId="127" xr:uid="{00000000-0005-0000-0000-00002C010000}"/>
    <cellStyle name="好" xfId="167" xr:uid="{00000000-0005-0000-0000-00002D010000}"/>
    <cellStyle name="差" xfId="168" xr:uid="{00000000-0005-0000-0000-00002E010000}"/>
    <cellStyle name="强调文字颜色 1" xfId="169" xr:uid="{00000000-0005-0000-0000-00002F010000}"/>
    <cellStyle name="强调文字颜色 2" xfId="170" xr:uid="{00000000-0005-0000-0000-000030010000}"/>
    <cellStyle name="强调文字颜色 3" xfId="171" xr:uid="{00000000-0005-0000-0000-000031010000}"/>
    <cellStyle name="强调文字颜色 4" xfId="172" xr:uid="{00000000-0005-0000-0000-000032010000}"/>
    <cellStyle name="强调文字颜色 5" xfId="173" xr:uid="{00000000-0005-0000-0000-000033010000}"/>
    <cellStyle name="强调文字颜色 6" xfId="174" xr:uid="{00000000-0005-0000-0000-000034010000}"/>
    <cellStyle name="标题" xfId="175" xr:uid="{00000000-0005-0000-0000-000035010000}"/>
    <cellStyle name="标题 1" xfId="176" xr:uid="{00000000-0005-0000-0000-000036010000}"/>
    <cellStyle name="标题 2" xfId="177" xr:uid="{00000000-0005-0000-0000-000037010000}"/>
    <cellStyle name="标题 3" xfId="178" xr:uid="{00000000-0005-0000-0000-000038010000}"/>
    <cellStyle name="标题 4" xfId="179" xr:uid="{00000000-0005-0000-0000-000039010000}"/>
    <cellStyle name="检查单元格" xfId="180" xr:uid="{00000000-0005-0000-0000-00003A010000}"/>
    <cellStyle name="汇总" xfId="181" xr:uid="{00000000-0005-0000-0000-00003B010000}"/>
    <cellStyle name="注释" xfId="182" xr:uid="{00000000-0005-0000-0000-00003C010000}"/>
    <cellStyle name="解释性文本" xfId="183" xr:uid="{00000000-0005-0000-0000-00003D010000}"/>
    <cellStyle name="警告文本" xfId="184" xr:uid="{00000000-0005-0000-0000-00003E010000}"/>
    <cellStyle name="计算" xfId="185" xr:uid="{00000000-0005-0000-0000-00003F010000}"/>
    <cellStyle name="输入" xfId="186" xr:uid="{00000000-0005-0000-0000-000040010000}"/>
    <cellStyle name="输出" xfId="187" xr:uid="{00000000-0005-0000-0000-000041010000}"/>
    <cellStyle name="适中" xfId="188" xr:uid="{00000000-0005-0000-0000-000042010000}"/>
    <cellStyle name="链接单元格" xfId="189" xr:uid="{00000000-0005-0000-0000-000043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counts\D\project%20documents\DMRC%20IT%20Park\project%20documents\Kuwait%20Audit%20Bureau\Rate%20Analys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nusuya/Downloads/Business%20Bay%20Over%20all%20structure%20works%20budget%20R1%20-%2012%2005%20202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c\C\New%20Folder%20(2)\My%20Documents\QC\TEST\GRADE\G20JU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nket\D\Yashpal\DPR\DPR_PBRP_Sep05\Yashpal\Budget\R2%20Verson\HCC%20_Budget_4%20Aug%2005FinalR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resh\c%20on%20suresh\WINDOWS\TEMP\cidcoanalys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ralidhara\SHARED%20FOLDER\SHARED%20FOLDER\AUG%20-%202005\INHOUSE\Aug%2005-SOBHA%20Rose-%20P%20Q%20S%20Revised%20(26.09.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uresh.B/M%20BOOK%20PAYMEN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ARAVANAN/Adhidev/Block%20&amp;%20Plastering%20budget/Aadhidev%20Block%20work%20Rev%20budget%20R1%20-%2024%2005%20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ffice\business%20bay\Business%20Bay%20Foundation%20and%20Structure%20works%20budget%20R4%20-%2001%2009%20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nusuya/Downloads/Business%20Bay%20Foundation%20and%20Structure%20works%20budget%20R4%20-%2001%2009%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C"/>
      <sheetName val="Shuttering"/>
      <sheetName val="Misc. points"/>
      <sheetName val="qty abst"/>
      <sheetName val="Programe"/>
      <sheetName val="boq"/>
      <sheetName val="P&amp;M"/>
      <sheetName val="LABOUR"/>
      <sheetName val="histogram"/>
      <sheetName val="basic "/>
      <sheetName val="bua"/>
      <sheetName val="topsheet"/>
      <sheetName val="Rate Analysis"/>
      <sheetName val="Work Done Bill (2)"/>
      <sheetName val="Civil Boq"/>
      <sheetName val="analysis"/>
      <sheetName val="Iron Steel &amp; handrails"/>
      <sheetName val="Top Sheet"/>
      <sheetName val="Publicbuilding"/>
      <sheetName val="1-BOQ_Civil"/>
      <sheetName val="Concrete"/>
      <sheetName val="Reinf"/>
      <sheetName val="Main Summary"/>
      <sheetName val="Summary (G.H.Bachlor C)"/>
      <sheetName val="General preliminaries"/>
      <sheetName val="STRUC"/>
      <sheetName val="DOOR-WIND"/>
      <sheetName val="STEEL"/>
      <sheetName val="ROOFING"/>
      <sheetName val="FLOORING"/>
      <sheetName val="MR"/>
      <sheetName val="WPR-IV"/>
      <sheetName val="S1BOQ"/>
      <sheetName val="BPL"/>
      <sheetName val="Monthly Format.ATH (ro)revised"/>
      <sheetName val="ASCE"/>
      <sheetName val="DBCA"/>
      <sheetName val="WAGES"/>
      <sheetName val="VENDOR CODE WO NO"/>
      <sheetName val="Master Item List"/>
      <sheetName val="Misc__points"/>
      <sheetName val="qty_abst"/>
      <sheetName val="basic_"/>
      <sheetName val="Rate_Analysis"/>
      <sheetName val="Iron_Steel_&amp;_handrails"/>
      <sheetName val="Top_Sheet"/>
      <sheetName val="Main_Summary"/>
      <sheetName val="Summary_(G_H_Bachlor_C)"/>
      <sheetName val="BOQ_(2)"/>
      <sheetName val="SPT_vs_PHI1"/>
      <sheetName val="Stress_Calculation"/>
      <sheetName val="CABLERET"/>
      <sheetName val="FINOLEX"/>
      <sheetName val="TBAL9697_-group_wise__sdpl"/>
      <sheetName val="PRECAST_lightconc-II2"/>
      <sheetName val="main"/>
      <sheetName val="switch"/>
      <sheetName val="Civil_Boq1"/>
      <sheetName val="Abs Sheet(Fuel oil area)JAN"/>
      <sheetName val="WDA_Sept'13"/>
      <sheetName val="Steel Summary"/>
      <sheetName val="Site Dev BOQ"/>
      <sheetName val="IS Summary"/>
      <sheetName val="BASIC"/>
      <sheetName val="GBW"/>
      <sheetName val="VENDER DETAIL"/>
      <sheetName val="Drain Work"/>
      <sheetName val="Non-BOQ summary"/>
      <sheetName val="Curing Bund for Sep'13"/>
      <sheetName val="Misc__points2"/>
      <sheetName val="qty_abst2"/>
      <sheetName val="basic_2"/>
      <sheetName val="Rate_Analysis2"/>
      <sheetName val="Top_Sheet2"/>
      <sheetName val="Iron_Steel_&amp;_handrails2"/>
      <sheetName val="Misc__points1"/>
      <sheetName val="qty_abst1"/>
      <sheetName val="basic_1"/>
      <sheetName val="Rate_Analysis1"/>
      <sheetName val="Top_Sheet1"/>
      <sheetName val="Iron_Steel_&amp;_handrails1"/>
      <sheetName val="Basic Rate"/>
      <sheetName val="INFLUENCES ON GM"/>
      <sheetName val="acevsSp (ABC)"/>
      <sheetName val="int hire"/>
      <sheetName val="Drop Down (Fixed)"/>
      <sheetName val="Master"/>
      <sheetName val="Drop Down"/>
      <sheetName val="Data"/>
      <sheetName val="BOQ_Direct_selling cost"/>
      <sheetName val="Basis"/>
      <sheetName val="STAFFSCHED "/>
      <sheetName val="Assumptions"/>
      <sheetName val="girder"/>
      <sheetName val="sept-plan"/>
      <sheetName val="Ref_Lists_SER"/>
      <sheetName val="pol-60"/>
      <sheetName val="BLK2"/>
      <sheetName val="BLK3"/>
      <sheetName val="E &amp; R"/>
      <sheetName val="radar"/>
      <sheetName val="UG"/>
      <sheetName val="경비공통"/>
      <sheetName val="Misc__points3"/>
      <sheetName val="qty_abst3"/>
      <sheetName val="basic_3"/>
      <sheetName val="Rate_Analysis3"/>
      <sheetName val="Iron_Steel_&amp;_handrails3"/>
      <sheetName val="Top_Sheet3"/>
      <sheetName val="Main_Summary1"/>
      <sheetName val="Summary_(G_H_Bachlor_C)1"/>
      <sheetName val="Monthly_Format_ATH_(ro)revised"/>
      <sheetName val="General_preliminaries"/>
      <sheetName val="Civil_Boq"/>
      <sheetName val="VENDOR_CODE_WO_NO"/>
      <sheetName val="Master_Item_List"/>
      <sheetName val="Abs_Sheet(Fuel_oil_area)JAN"/>
      <sheetName val="Steel_Summary"/>
      <sheetName val="Site_Dev_BOQ"/>
      <sheetName val="IS_Summary"/>
      <sheetName val="VENDER_DETAIL"/>
      <sheetName val="Work_Done_Bill_(2)"/>
      <sheetName val="Basic_Rate"/>
      <sheetName val="INFLUENCES_ON_GM"/>
      <sheetName val="acevsSp_(ABC)"/>
      <sheetName val="Legal Risk Analysis"/>
      <sheetName val="PointNo.5"/>
      <sheetName val="Sheet1"/>
      <sheetName val="ISRO"/>
      <sheetName val="IIST (2)"/>
      <sheetName val="IRIS"/>
      <sheetName val="spre"/>
      <sheetName val="TMLB-II"/>
      <sheetName val="IIST (3)"/>
      <sheetName val="IRISMAY13"/>
      <sheetName val="TMLB II MAY13"/>
      <sheetName val="isro JUL13"/>
      <sheetName val="IRIS Jul13"/>
      <sheetName val="IRS 2 jul13"/>
      <sheetName val="isro aug13"/>
      <sheetName val="IRIS augg13"/>
      <sheetName val="SPRE WORKING"/>
      <sheetName val="IRS 2augg 13"/>
      <sheetName val="iist sept13"/>
      <sheetName val="IRIS SEPT13"/>
      <sheetName val="SPRE SEPT"/>
      <sheetName val="IRS2 SEPT 13"/>
      <sheetName val="iist OCT 13"/>
      <sheetName val="IRIS OCT13"/>
      <sheetName val="IRIS2 OCT13"/>
      <sheetName val="iist nov13"/>
      <sheetName val="iris nov13"/>
      <sheetName val="spre nov13"/>
      <sheetName val="isro dec13"/>
      <sheetName val="IRIS DEC13"/>
      <sheetName val="isro jan 14"/>
      <sheetName val="isro feb14"/>
      <sheetName val="IRIS FEB-14"/>
      <sheetName val="TMLB-II FEB-14"/>
      <sheetName val="RA Format"/>
      <sheetName val="Measurement-ID works"/>
      <sheetName val="Ph 1 -ESM Pipe, Bitumen"/>
      <sheetName val="1"/>
      <sheetName val="Dropdown"/>
      <sheetName val="Staff Forecast spread"/>
      <sheetName val="Calc_ISC"/>
      <sheetName val="#REF"/>
      <sheetName val="CORRECTION"/>
      <sheetName val="major qty"/>
      <sheetName val="Major P&amp;M deployment"/>
      <sheetName val="p&amp;m L&amp;T Hire"/>
      <sheetName val="Data 1"/>
      <sheetName val="A6"/>
      <sheetName val="Stress Calculation"/>
      <sheetName val="MORGACTS"/>
      <sheetName val="PRECAST lightconc-II"/>
      <sheetName val="IO List"/>
      <sheetName val="Progress"/>
      <sheetName val="Rates"/>
      <sheetName val="Lead"/>
      <sheetName val="dummy"/>
      <sheetName val="Unit Rate"/>
      <sheetName val="Sheet2"/>
      <sheetName val="MLAP"/>
      <sheetName val="Fill this out first..."/>
      <sheetName val="Misc__points4"/>
      <sheetName val="qty_abst4"/>
      <sheetName val="basic_4"/>
      <sheetName val="Rate_Analysis4"/>
      <sheetName val="Iron_Steel_&amp;_handrails4"/>
      <sheetName val="Top_Sheet4"/>
      <sheetName val="Monthly_Format_ATH_(ro)revised1"/>
      <sheetName val="Main_Summary2"/>
      <sheetName val="Summary_(G_H_Bachlor_C)2"/>
      <sheetName val="General_preliminaries1"/>
      <sheetName val="Abs_Sheet(Fuel_oil_area)JAN1"/>
      <sheetName val="Civil_Boq2"/>
      <sheetName val="VENDOR_CODE_WO_NO1"/>
      <sheetName val="Master_Item_List1"/>
      <sheetName val="VENDER_DETAIL1"/>
      <sheetName val="BOQ_Direct_selling_cost"/>
      <sheetName val="Site_Dev_BOQ1"/>
      <sheetName val="Drain_Work"/>
      <sheetName val="Non-BOQ_summary"/>
      <sheetName val="Curing_Bund_for_Sep'13"/>
      <sheetName val="IS_Summary1"/>
      <sheetName val="int_hire"/>
      <sheetName val="Steel_Summary1"/>
      <sheetName val="Basic_Rate1"/>
      <sheetName val="INFLUENCES_ON_GM1"/>
      <sheetName val="acevsSp_(ABC)1"/>
      <sheetName val="Work_Done_Bill_(2)1"/>
      <sheetName val="Drop_Down_(Fixed)"/>
      <sheetName val="Drop_Down"/>
      <sheetName val="STAFFSCHED_"/>
      <sheetName val="E_&amp;_R"/>
      <sheetName val="Legal_Risk_Analysis"/>
      <sheetName val="PointNo_5"/>
      <sheetName val="IIST_(2)"/>
      <sheetName val="IIST_(3)"/>
      <sheetName val="TMLB_II_MAY13"/>
      <sheetName val="isro_JUL13"/>
      <sheetName val="IRIS_Jul13"/>
      <sheetName val="IRS_2_jul13"/>
      <sheetName val="isro_aug13"/>
      <sheetName val="IRIS_augg13"/>
      <sheetName val="SPRE_WORKING"/>
      <sheetName val="IRS_2augg_13"/>
      <sheetName val="iist_sept13"/>
      <sheetName val="IRIS_SEPT13"/>
      <sheetName val="SPRE_SEPT"/>
      <sheetName val="IRS2_SEPT_13"/>
      <sheetName val="iist_OCT_13"/>
      <sheetName val="IRIS_OCT13"/>
      <sheetName val="IRIS2_OCT13"/>
      <sheetName val="iist_nov13"/>
      <sheetName val="iris_nov13"/>
      <sheetName val="spre_nov13"/>
      <sheetName val="isro_dec13"/>
      <sheetName val="IRIS_DEC13"/>
      <sheetName val="isro_jan_14"/>
      <sheetName val="isro_feb14"/>
      <sheetName val="IRIS_FEB-14"/>
      <sheetName val="TMLB-II_FEB-14"/>
      <sheetName val="Fill_this_out_first___"/>
      <sheetName val="Misc__points5"/>
      <sheetName val="qty_abst5"/>
      <sheetName val="basic_5"/>
      <sheetName val="Rate_Analysis5"/>
      <sheetName val="Iron_Steel_&amp;_handrails5"/>
      <sheetName val="Top_Sheet5"/>
      <sheetName val="Monthly_Format_ATH_(ro)revised2"/>
      <sheetName val="Main_Summary3"/>
      <sheetName val="Summary_(G_H_Bachlor_C)3"/>
      <sheetName val="General_preliminaries2"/>
      <sheetName val="Abs_Sheet(Fuel_oil_area)JAN2"/>
      <sheetName val="Civil_Boq3"/>
      <sheetName val="VENDOR_CODE_WO_NO2"/>
      <sheetName val="Master_Item_List2"/>
      <sheetName val="VENDER_DETAIL2"/>
      <sheetName val="BOQ_Direct_selling_cost1"/>
      <sheetName val="Site_Dev_BOQ2"/>
      <sheetName val="Drain_Work1"/>
      <sheetName val="Non-BOQ_summary1"/>
      <sheetName val="Curing_Bund_for_Sep'131"/>
      <sheetName val="IS_Summary2"/>
      <sheetName val="int_hire1"/>
      <sheetName val="Steel_Summary2"/>
      <sheetName val="Basic_Rate2"/>
      <sheetName val="INFLUENCES_ON_GM2"/>
      <sheetName val="acevsSp_(ABC)2"/>
      <sheetName val="Work_Done_Bill_(2)2"/>
      <sheetName val="Drop_Down_(Fixed)1"/>
      <sheetName val="Drop_Down1"/>
      <sheetName val="STAFFSCHED_1"/>
      <sheetName val="E_&amp;_R1"/>
      <sheetName val="Legal_Risk_Analysis1"/>
      <sheetName val="PointNo_51"/>
      <sheetName val="IIST_(2)1"/>
      <sheetName val="IIST_(3)1"/>
      <sheetName val="TMLB_II_MAY131"/>
      <sheetName val="isro_JUL131"/>
      <sheetName val="IRIS_Jul131"/>
      <sheetName val="IRS_2_jul131"/>
      <sheetName val="isro_aug131"/>
      <sheetName val="IRIS_augg131"/>
      <sheetName val="SPRE_WORKING1"/>
      <sheetName val="IRS_2augg_131"/>
      <sheetName val="iist_sept131"/>
      <sheetName val="IRIS_SEPT131"/>
      <sheetName val="SPRE_SEPT1"/>
      <sheetName val="IRS2_SEPT_131"/>
      <sheetName val="iist_OCT_131"/>
      <sheetName val="IRIS_OCT131"/>
      <sheetName val="IRIS2_OCT131"/>
      <sheetName val="iist_nov131"/>
      <sheetName val="iris_nov131"/>
      <sheetName val="spre_nov131"/>
      <sheetName val="isro_dec131"/>
      <sheetName val="IRIS_DEC131"/>
      <sheetName val="isro_jan_141"/>
      <sheetName val="isro_feb141"/>
      <sheetName val="IRIS_FEB-141"/>
      <sheetName val="TMLB-II_FEB-141"/>
      <sheetName val="Fill_this_out_first___1"/>
      <sheetName val="std.wt."/>
      <sheetName val="Input"/>
      <sheetName val="Rehab podium footing"/>
      <sheetName val="ETC Panorama"/>
      <sheetName val="11-hsd"/>
      <sheetName val="13-septic"/>
      <sheetName val="7-ug"/>
      <sheetName val="2-utility"/>
      <sheetName val="18-misc"/>
      <sheetName val="5-pipe"/>
      <sheetName val="Misc__points6"/>
      <sheetName val="qty_abst6"/>
      <sheetName val="basic_6"/>
      <sheetName val="Rate_Analysis6"/>
      <sheetName val="Iron_Steel_&amp;_handrails6"/>
      <sheetName val="Top_Sheet6"/>
      <sheetName val="Abs_Sheet(Fuel_oil_area)JAN3"/>
      <sheetName val="Monthly_Format_ATH_(ro)revised3"/>
      <sheetName val="Main_Summary4"/>
      <sheetName val="Summary_(G_H_Bachlor_C)4"/>
      <sheetName val="General_preliminaries3"/>
      <sheetName val="Site_Dev_BOQ3"/>
      <sheetName val="Civil_Boq4"/>
      <sheetName val="VENDOR_CODE_WO_NO3"/>
      <sheetName val="Master_Item_List3"/>
      <sheetName val="VENDER_DETAIL3"/>
      <sheetName val="BOQ_Direct_selling_cost2"/>
      <sheetName val="Drain_Work2"/>
      <sheetName val="Non-BOQ_summary2"/>
      <sheetName val="Curing_Bund_for_Sep'132"/>
      <sheetName val="IS_Summary3"/>
      <sheetName val="int_hire2"/>
      <sheetName val="Steel_Summary3"/>
      <sheetName val="Work_Done_Bill_(2)3"/>
      <sheetName val="Basic_Rate3"/>
      <sheetName val="INFLUENCES_ON_GM3"/>
      <sheetName val="acevsSp_(ABC)3"/>
      <sheetName val="Drop_Down2"/>
      <sheetName val="Drop_Down_(Fixed)2"/>
      <sheetName val="STAFFSCHED_2"/>
      <sheetName val="E_&amp;_R2"/>
      <sheetName val="Legal_Risk_Analysis2"/>
      <sheetName val="PointNo_52"/>
      <sheetName val="IIST_(2)2"/>
      <sheetName val="IIST_(3)2"/>
      <sheetName val="TMLB_II_MAY132"/>
      <sheetName val="isro_JUL132"/>
      <sheetName val="IRIS_Jul132"/>
      <sheetName val="IRS_2_jul132"/>
      <sheetName val="isro_aug132"/>
      <sheetName val="IRIS_augg132"/>
      <sheetName val="SPRE_WORKING2"/>
      <sheetName val="IRS_2augg_132"/>
      <sheetName val="iist_sept132"/>
      <sheetName val="IRIS_SEPT132"/>
      <sheetName val="SPRE_SEPT2"/>
      <sheetName val="IRS2_SEPT_132"/>
      <sheetName val="iist_OCT_132"/>
      <sheetName val="IRIS_OCT132"/>
      <sheetName val="IRIS2_OCT132"/>
      <sheetName val="iist_nov132"/>
      <sheetName val="iris_nov132"/>
      <sheetName val="spre_nov132"/>
      <sheetName val="isro_dec132"/>
      <sheetName val="IRIS_DEC132"/>
      <sheetName val="isro_jan_142"/>
      <sheetName val="isro_feb142"/>
      <sheetName val="IRIS_FEB-142"/>
      <sheetName val="TMLB-II_FEB-142"/>
      <sheetName val="Fill_this_out_first___2"/>
      <sheetName val="Ph_1_-ESM_Pipe,_Bitumen"/>
      <sheetName val="RA_Format"/>
      <sheetName val="Measurement-ID_works"/>
      <sheetName val="Misc__points7"/>
      <sheetName val="qty_abst7"/>
      <sheetName val="basic_7"/>
      <sheetName val="Rate_Analysis7"/>
      <sheetName val="Iron_Steel_&amp;_handrails7"/>
      <sheetName val="Top_Sheet7"/>
      <sheetName val="Abs_Sheet(Fuel_oil_area)JAN4"/>
      <sheetName val="Monthly_Format_ATH_(ro)revised4"/>
      <sheetName val="Main_Summary5"/>
      <sheetName val="Summary_(G_H_Bachlor_C)5"/>
      <sheetName val="General_preliminaries4"/>
      <sheetName val="Site_Dev_BOQ4"/>
      <sheetName val="Civil_Boq5"/>
      <sheetName val="VENDOR_CODE_WO_NO4"/>
      <sheetName val="Master_Item_List4"/>
      <sheetName val="VENDER_DETAIL4"/>
      <sheetName val="BOQ_Direct_selling_cost3"/>
      <sheetName val="Drain_Work3"/>
      <sheetName val="Non-BOQ_summary3"/>
      <sheetName val="Curing_Bund_for_Sep'133"/>
      <sheetName val="IS_Summary4"/>
      <sheetName val="int_hire3"/>
      <sheetName val="Steel_Summary4"/>
      <sheetName val="Work_Done_Bill_(2)4"/>
      <sheetName val="Basic_Rate4"/>
      <sheetName val="INFLUENCES_ON_GM4"/>
      <sheetName val="acevsSp_(ABC)4"/>
      <sheetName val="Drop_Down3"/>
      <sheetName val="Drop_Down_(Fixed)3"/>
      <sheetName val="STAFFSCHED_3"/>
      <sheetName val="E_&amp;_R3"/>
      <sheetName val="Legal_Risk_Analysis3"/>
      <sheetName val="PointNo_53"/>
      <sheetName val="IIST_(2)3"/>
      <sheetName val="IIST_(3)3"/>
      <sheetName val="TMLB_II_MAY133"/>
      <sheetName val="isro_JUL133"/>
      <sheetName val="IRIS_Jul133"/>
      <sheetName val="IRS_2_jul133"/>
      <sheetName val="isro_aug133"/>
      <sheetName val="IRIS_augg133"/>
      <sheetName val="SPRE_WORKING3"/>
      <sheetName val="IRS_2augg_133"/>
      <sheetName val="iist_sept133"/>
      <sheetName val="IRIS_SEPT133"/>
      <sheetName val="SPRE_SEPT3"/>
      <sheetName val="IRS2_SEPT_133"/>
      <sheetName val="iist_OCT_133"/>
      <sheetName val="IRIS_OCT133"/>
      <sheetName val="IRIS2_OCT133"/>
      <sheetName val="iist_nov133"/>
      <sheetName val="iris_nov133"/>
      <sheetName val="spre_nov133"/>
      <sheetName val="isro_dec133"/>
      <sheetName val="IRIS_DEC133"/>
      <sheetName val="isro_jan_143"/>
      <sheetName val="isro_feb143"/>
      <sheetName val="IRIS_FEB-143"/>
      <sheetName val="TMLB-II_FEB-143"/>
      <sheetName val="Fill_this_out_first___3"/>
      <sheetName val="Ph_1_-ESM_Pipe,_Bitumen1"/>
      <sheetName val="RA_Format1"/>
      <sheetName val="Measurement-ID_works1"/>
      <sheetName val="Staff_Forecast_spread"/>
      <sheetName val="Build-up"/>
      <sheetName val="Sludge Cal"/>
      <sheetName val="合成単価作成表-BLDG"/>
      <sheetName val="2gii"/>
      <sheetName val="Assumption Inputs"/>
      <sheetName val="Design"/>
      <sheetName val="gen"/>
      <sheetName val="ABP inputs"/>
      <sheetName val="Synergy Sales Budget"/>
      <sheetName val="Vendor"/>
      <sheetName val="A.O.R r1Str"/>
      <sheetName val="A.O.R r1"/>
      <sheetName val="A.O.R (2)"/>
      <sheetName val="ABSTRACT"/>
      <sheetName val="P4-B"/>
      <sheetName val="d-safe DELUXE"/>
      <sheetName val="Main-Material"/>
      <sheetName val="Assumption_Inputs"/>
      <sheetName val="Code"/>
      <sheetName val="FitOutConfCentre"/>
      <sheetName val="omm-add"/>
      <sheetName val="Shuttering Abstract"/>
      <sheetName val="SPT vs PHI"/>
      <sheetName val="AoR Finishing"/>
      <sheetName val="Assumption_Inputs1"/>
      <sheetName val="Stress_Calculation1"/>
      <sheetName val="Assumption_Inputs2"/>
      <sheetName val="Stress_Calculation2"/>
      <sheetName val="Assumption_Inputs3"/>
      <sheetName val="Stress_Calculation3"/>
      <sheetName val="P+M - Tower Crane"/>
      <sheetName val="STAFFSCHED_4"/>
      <sheetName val="Drain_Work4"/>
      <sheetName val="Non-BOQ_summary4"/>
      <sheetName val="Curing_Bund_for_Sep'134"/>
      <sheetName val="Assumption_Inputs4"/>
      <sheetName val="Stress_Calculation4"/>
      <sheetName val="IO_List"/>
      <sheetName val="major_qty"/>
      <sheetName val="Major_P&amp;M_deployment"/>
      <sheetName val="p&amp;m_L&amp;T_Hire"/>
      <sheetName val="PRECAST_lightconc-II"/>
      <sheetName val="Unit_Rate"/>
      <sheetName val="d-safe_DELUXE"/>
      <sheetName val="ABP_inputs"/>
      <sheetName val="Synergy_Sales_Budget"/>
      <sheetName val="Misc__points8"/>
      <sheetName val="qty_abst8"/>
      <sheetName val="basic_8"/>
      <sheetName val="Rate_Analysis8"/>
      <sheetName val="Top_Sheet8"/>
      <sheetName val="Iron_Steel_&amp;_handrails8"/>
      <sheetName val="STAFFSCHED_5"/>
      <sheetName val="IS_Summary5"/>
      <sheetName val="Work_Done_Bill_(2)5"/>
      <sheetName val="VENDOR_CODE_WO_NO5"/>
      <sheetName val="Master_Item_List5"/>
      <sheetName val="VENDER_DETAIL5"/>
      <sheetName val="General_preliminaries5"/>
      <sheetName val="Drain_Work5"/>
      <sheetName val="Non-BOQ_summary5"/>
      <sheetName val="Curing_Bund_for_Sep'135"/>
      <sheetName val="Site_Dev_BOQ5"/>
      <sheetName val="Assumption_Inputs5"/>
      <sheetName val="Stress_Calculation5"/>
      <sheetName val="IO_List1"/>
      <sheetName val="major_qty1"/>
      <sheetName val="Major_P&amp;M_deployment1"/>
      <sheetName val="p&amp;m_L&amp;T_Hire1"/>
      <sheetName val="PRECAST_lightconc-II1"/>
      <sheetName val="Unit_Rate1"/>
      <sheetName val="d-safe_DELUXE1"/>
      <sheetName val="ABP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sheetData sheetId="475"/>
      <sheetData sheetId="476"/>
      <sheetData sheetId="477"/>
      <sheetData sheetId="478"/>
      <sheetData sheetId="479"/>
      <sheetData sheetId="480"/>
      <sheetData sheetId="481"/>
      <sheetData sheetId="482"/>
      <sheetData sheetId="483"/>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sheetData sheetId="505"/>
      <sheetData sheetId="506"/>
      <sheetData sheetId="507"/>
      <sheetData sheetId="508"/>
      <sheetData sheetId="509"/>
      <sheetData sheetId="510"/>
      <sheetData sheetId="511"/>
      <sheetData sheetId="512"/>
      <sheetData sheetId="513" refreshError="1"/>
      <sheetData sheetId="5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R1"/>
      <sheetName val="Slab - Typical floor "/>
      <sheetName val="Beam - Typical floor"/>
      <sheetName val="Column - 3rd floor to Terrace"/>
      <sheetName val="Column -3rd floor-ter rev1"/>
      <sheetName val="Slab - Ground floor "/>
      <sheetName val="Beam - Ground  Floor"/>
      <sheetName val="Column - GRF to 3rd Floor"/>
      <sheetName val="Column - GRF to 3rd floor rev1"/>
      <sheetName val="Slab - Basement  "/>
      <sheetName val="Beam - Basement  Floor"/>
      <sheetName val="Tie beam - 1 (2)"/>
      <sheetName val="Column - Base to GFR Rev1 "/>
      <sheetName val="Lift Wall rev1"/>
      <sheetName val="Staircase slab rev1"/>
      <sheetName val="Grade Slab Rev 1"/>
      <sheetName val="Ret Wall rev -1"/>
      <sheetName val="Tie beam 2-  rev 1 "/>
      <sheetName val="Tie beam 1-  rev 1  "/>
      <sheetName val="Column - PCC to base floor rev1"/>
      <sheetName val="Footing - Rev1"/>
      <sheetName val="Excavation and Filling rev1"/>
      <sheetName val="Budget"/>
      <sheetName val="kumar vs Skyline"/>
      <sheetName val="kumar New vs Old"/>
      <sheetName val="Plinth area"/>
      <sheetName val="Abstract R0"/>
      <sheetName val="Contour Level"/>
      <sheetName val="Water Proofing"/>
      <sheetName val="Excavation and Filling"/>
      <sheetName val="Footing "/>
      <sheetName val="Footing - Rev"/>
      <sheetName val="Tie beam - 1"/>
      <sheetName val="Column - PCC to Ground Floo LVl"/>
      <sheetName val="Lift Wall New"/>
      <sheetName val="Lift Wall"/>
      <sheetName val="Ret Wall - PCC - Drive Way"/>
      <sheetName val="Tie beam - 2"/>
      <sheetName val="Grade Slab"/>
      <sheetName val="Sheet1"/>
      <sheetName val="Sheet3"/>
      <sheetName val="Sheet2"/>
      <sheetName val="Foundation in det"/>
      <sheetName val="Column - PCC to Basement floor"/>
      <sheetName val="Column - Basement to GF"/>
      <sheetName val="Lift - PCC to Basement floor"/>
      <sheetName val="Lift - Basement to GF"/>
      <sheetName val="Comparision Foundation"/>
      <sheetName val="Comparision structure"/>
      <sheetName val="Column - PCC to Ground Floo  Re"/>
    </sheetNames>
    <sheetDataSet>
      <sheetData sheetId="0"/>
      <sheetData sheetId="1"/>
      <sheetData sheetId="2"/>
      <sheetData sheetId="3"/>
      <sheetData sheetId="4"/>
      <sheetData sheetId="5"/>
      <sheetData sheetId="6"/>
      <sheetData sheetId="7"/>
      <sheetData sheetId="8"/>
      <sheetData sheetId="9"/>
      <sheetData sheetId="10">
        <row r="1354">
          <cell r="T1354">
            <v>5.4995199999999986</v>
          </cell>
        </row>
      </sheetData>
      <sheetData sheetId="11"/>
      <sheetData sheetId="12">
        <row r="5">
          <cell r="S5">
            <v>0.81034593111856135</v>
          </cell>
        </row>
      </sheetData>
      <sheetData sheetId="13">
        <row r="186">
          <cell r="R186">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s"/>
      <sheetName val="Sheet1"/>
      <sheetName val="Sheet2"/>
      <sheetName val="IS C SAND"/>
      <sheetName val="IS R SAND"/>
      <sheetName val="IS 20 &amp; 10 MM Agg"/>
      <sheetName val="20&amp;10mm Agg"/>
      <sheetName val="Sheet13"/>
      <sheetName val="SAND "/>
      <sheetName val="Sheet4"/>
      <sheetName val="BLED PB"/>
      <sheetName val="BLED"/>
      <sheetName val="ISO BLED"/>
      <sheetName val="Sheet6"/>
      <sheetName val="Sheet7"/>
      <sheetName val="Sheet9"/>
      <sheetName val="Sheet10"/>
      <sheetName val="Sheet11"/>
      <sheetName val="Sheet12"/>
      <sheetName val="Sheet15"/>
      <sheetName val="Sheet3"/>
      <sheetName val="Sheet16"/>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ow r="17">
          <cell r="O17">
            <v>0</v>
          </cell>
        </row>
      </sheetData>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d"/>
      <sheetName val="Abstract"/>
      <sheetName val="DPR actual"/>
      <sheetName val="addnl specs impact"/>
      <sheetName val="Expenses"/>
      <sheetName val="Index"/>
      <sheetName val="Form 1"/>
      <sheetName val="Form 2"/>
      <sheetName val="Form 4"/>
      <sheetName val="Form 5"/>
      <sheetName val="Form 6"/>
      <sheetName val="Form 7"/>
      <sheetName val="Form 8"/>
      <sheetName val="Form 9"/>
      <sheetName val="S1BOQ"/>
      <sheetName val="S2groupcode"/>
      <sheetName val="S3workplanqty"/>
      <sheetName val="S3workplanamt"/>
      <sheetName val="S6MATqty-code"/>
      <sheetName val="S7MATqty-grp"/>
      <sheetName val="S8MATexp-code"/>
      <sheetName val="S17power"/>
      <sheetName val="S19cap"/>
      <sheetName val="S20MSE Items"/>
      <sheetName val="S21Subcon"/>
      <sheetName val="S23ManNos"/>
      <sheetName val="S24Mancost"/>
      <sheetName val="S25EQPrep"/>
      <sheetName val="S26EQPhire"/>
      <sheetName val="S28Rev"/>
      <sheetName val="S29Prelitem"/>
      <sheetName val="S31Prelitemdet"/>
      <sheetName val="S32Prelexp"/>
      <sheetName val="S33Prelexpdet"/>
      <sheetName val="S38stock"/>
      <sheetName val="S39liab"/>
      <sheetName val="S42HSE"/>
      <sheetName val="salary details"/>
      <sheetName val="S9wastage"/>
      <sheetName val="Form 11"/>
      <sheetName val="S35Indircost"/>
      <sheetName val="S43Taxation"/>
      <sheetName val="S40Milestones"/>
      <sheetName val="S27EQPlease"/>
      <sheetName val="S13cons"/>
      <sheetName val="S14spares"/>
      <sheetName val="S15POL"/>
      <sheetName val="S34Dircost"/>
      <sheetName val="S36Prelimcost"/>
      <sheetName val="S16Elec"/>
      <sheetName val="S12EQPhrs"/>
      <sheetName val="S37UnitCost"/>
      <sheetName val="S18EQPplan"/>
      <sheetName val="S41MatProcurement"/>
      <sheetName val="S11EQPnorm"/>
      <sheetName val="S5escalation"/>
      <sheetName val="S4timecycle"/>
      <sheetName val="Form 10"/>
      <sheetName val="Form 3"/>
      <sheetName val="S10bomat"/>
      <sheetName val="S22PRW"/>
      <sheetName val="S30Prelplant"/>
      <sheetName val="NET Sum"/>
      <sheetName val="VIWSCo1"/>
      <sheetName val="QCEQPT-owned"/>
      <sheetName val="BLK2"/>
      <sheetName val="BLK3"/>
      <sheetName val="E &amp; R"/>
      <sheetName val="radar"/>
      <sheetName val="UG"/>
      <sheetName val="선수금"/>
      <sheetName val="detail'02"/>
      <sheetName val="GM &amp; TA"/>
      <sheetName val="Boq"/>
      <sheetName val="Sqn-Abs"/>
      <sheetName val="final abstract"/>
      <sheetName val="Debits as on 12.04.08"/>
      <sheetName val="Inv_Data"/>
      <sheetName val="Rate Analysi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banilad"/>
      <sheetName val="Mactan"/>
      <sheetName val="Mandaue"/>
      <sheetName val="SITE OVERHEADS"/>
      <sheetName val="GR.slab-reinft"/>
      <sheetName val="2gii"/>
      <sheetName val="upa"/>
      <sheetName val="detail'02"/>
      <sheetName val="PointNo.5"/>
      <sheetName val="Stress Calculation"/>
      <sheetName val="Detail"/>
      <sheetName val="PRECAST lightconc-II"/>
      <sheetName val="p&amp;m"/>
      <sheetName val="VCH-SLC"/>
      <sheetName val="Supplier"/>
      <sheetName val="Design"/>
      <sheetName val=" Net Break Down"/>
      <sheetName val="Labels"/>
      <sheetName val="BSH num"/>
      <sheetName val="GUT (2)"/>
      <sheetName val="ACE-OUT"/>
      <sheetName val="Boq"/>
      <sheetName val="Basic"/>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공장별판관비배부"/>
      <sheetName val="Citrix"/>
      <sheetName val="Sheet1"/>
      <sheetName val="IO List"/>
      <sheetName val="Assumption Inputs"/>
      <sheetName val="Bill No 2 to 8 (Rev)"/>
      <sheetName val="BHANDUP"/>
      <sheetName val="#REF"/>
      <sheetName val="Sheet3"/>
      <sheetName val="data"/>
      <sheetName val="SPT vs PHI"/>
      <sheetName val="A-General"/>
      <sheetName val="Tender Summary"/>
      <sheetName val="Debits as on 12.04.08"/>
      <sheetName val="Fill this out first..."/>
      <sheetName val="GF Columns"/>
      <sheetName val="Requirements"/>
      <sheetName val="Storage"/>
      <sheetName val="Financial"/>
      <sheetName val="Staff Acco."/>
      <sheetName val="Bill 3 - Site Works"/>
      <sheetName val="Costing"/>
      <sheetName val="FINOLEX"/>
      <sheetName val="Vind-BtB"/>
      <sheetName val="labour coeff"/>
      <sheetName val="Deduction of assets"/>
      <sheetName val="Labour"/>
      <sheetName val="K.Ajeet"/>
      <sheetName val="Civil-main_building2"/>
      <sheetName val="Civil-amenities_buildings2"/>
      <sheetName val="Roads-pavement-path_ways2"/>
      <sheetName val="C-Wall_BOQ2"/>
      <sheetName val="GR_slab-reinft2"/>
      <sheetName val="Civil-main_building"/>
      <sheetName val="Civil-amenities_buildings"/>
      <sheetName val="Roads-pavement-path_ways"/>
      <sheetName val="C-Wall_BOQ"/>
      <sheetName val="GR_slab-reinft"/>
      <sheetName val="Civil-main_building1"/>
      <sheetName val="Civil-amenities_buildings1"/>
      <sheetName val="Roads-pavement-path_ways1"/>
      <sheetName val="C-Wall_BOQ1"/>
      <sheetName val="GR_slab-reinft1"/>
      <sheetName val="SILICATE"/>
      <sheetName val="HPL"/>
      <sheetName val="Estimation"/>
      <sheetName val="INDIGINEOUS ITEMS "/>
      <sheetName val="07016, Master List-Major Minor"/>
      <sheetName val="Flooring"/>
      <sheetName val="ELEC_BOQ"/>
      <sheetName val="AutoOpen Stub Data"/>
      <sheetName val="Fin Sum"/>
      <sheetName val="Bridges RB"/>
      <sheetName val="Analysis Justi "/>
      <sheetName val="Qty Esti -TCS"/>
      <sheetName val="INPUT"/>
      <sheetName val="Abst Jo"/>
      <sheetName val="PRECAST_lightconc-II"/>
      <sheetName val="PointNo_5"/>
      <sheetName val="PCC"/>
      <sheetName val="cidcoanalysis"/>
      <sheetName val="C Sum"/>
      <sheetName val="A Sum"/>
      <sheetName val="GBW"/>
      <sheetName val="Build-up"/>
      <sheetName val="Ratio"/>
      <sheetName val="S &amp; A"/>
      <sheetName val="Assumptions"/>
      <sheetName val="매크로"/>
      <sheetName val="Civil-main_building3"/>
      <sheetName val="Civil-amenities_buildings3"/>
      <sheetName val="Roads-pavement-path_ways3"/>
      <sheetName val="C-Wall_BOQ3"/>
      <sheetName val="GR_slab-reinft3"/>
      <sheetName val="Stress_Calculation"/>
      <sheetName val="GUT_(2)"/>
      <sheetName val="_Net_Break_Down"/>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FORM7"/>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CLAY"/>
      <sheetName val="PL"/>
      <sheetName val="Groupings-final"/>
      <sheetName val="Sched"/>
      <sheetName val="Trial"/>
      <sheetName val="FA_Final"/>
      <sheetName val="Break up Sheet"/>
      <sheetName val="macros"/>
      <sheetName val="4 Annex 1 Basic rate"/>
      <sheetName val="Detail In Door Stad"/>
      <sheetName val="Basis"/>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Machinery"/>
      <sheetName val="s"/>
      <sheetName val="NLD - Assum"/>
      <sheetName val="Capex-fixed"/>
      <sheetName val="IDCCALHYD-GOO"/>
      <sheetName val="Material"/>
      <sheetName val="RA"/>
      <sheetName val="5 NOT REQUIRED"/>
      <sheetName val="Story Drift-Part 2"/>
      <sheetName val="PROGRAMME"/>
      <sheetName val="PROG SUMMARY"/>
      <sheetName val="3cd Annexure"/>
      <sheetName val="strain"/>
      <sheetName val="keyword"/>
      <sheetName val="Introduction"/>
      <sheetName val="Old"/>
      <sheetName val="Operating Statistics"/>
      <sheetName val="Financials"/>
      <sheetName val="Bank Guarantee"/>
      <sheetName val="Deckblatt"/>
      <sheetName val="Sludge Cal"/>
      <sheetName val="COLUMN"/>
      <sheetName val="INDEX"/>
      <sheetName val="AREAS"/>
      <sheetName val="INPUT SHEET"/>
      <sheetName val="RES-PLANNING"/>
      <sheetName val="Indices"/>
      <sheetName val="Basement Budget"/>
      <sheetName val="factors"/>
      <sheetName val="FITZ MORT 94"/>
      <sheetName val="C_Sum"/>
      <sheetName val="A_Sum"/>
      <sheetName val="Deduction_of_assets"/>
      <sheetName val="S_&amp;_A"/>
      <sheetName val="4_Annex_1_Basic_rate"/>
      <sheetName val="Detail_In_Door_Stad"/>
      <sheetName val="5_NOT_REQUIRED"/>
      <sheetName val="Bank_Guarantee"/>
      <sheetName val="Basic Rates"/>
      <sheetName val="Rate analysis"/>
      <sheetName val="BLOCK-A (MEA.SHEET)"/>
      <sheetName val="PARAMETRES"/>
      <sheetName val="合成単価作成表-BLDG"/>
      <sheetName val="A.O.R r1Str"/>
      <sheetName val="A.O.R r1"/>
      <sheetName val="A.O.R (2)"/>
      <sheetName val="C-Wadl_BOQ2"/>
      <sheetName val="IO_List1"/>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CABLERET"/>
      <sheetName val="Bill 1"/>
      <sheetName val="Bill 2"/>
      <sheetName val="Bill 3"/>
      <sheetName val="Bill 4"/>
      <sheetName val="Bill 5"/>
      <sheetName val="Bill 6"/>
      <sheetName val="Bill 7"/>
      <sheetName val="BOQ (2)"/>
      <sheetName val="SCHEDULE"/>
      <sheetName val="Database"/>
      <sheetName val="schedule nos"/>
      <sheetName val="hyperstatic"/>
      <sheetName val="RA-markate"/>
      <sheetName val="RCC,Ret. Wall"/>
      <sheetName val="A-Property"/>
      <sheetName val="ecc_res"/>
      <sheetName val="NC-CM"/>
      <sheetName val="Ave.wtd.rates"/>
      <sheetName val="Material "/>
      <sheetName val="Legend"/>
      <sheetName val="AoR Finishing"/>
      <sheetName val="SUMMARY_ALL_CO'S1"/>
      <sheetName val="Break_up_Sheet1"/>
      <sheetName val="4_Annex_1_Basic_rate1"/>
      <sheetName val="Detail_In_Door_Stad1"/>
      <sheetName val="5_NOT_REQUIRED1"/>
      <sheetName val="Bank_Guarantee1"/>
      <sheetName val="Civil-main_building6"/>
      <sheetName val="Civil-amenities_buildings6"/>
      <sheetName val="Roads-pavement-path_ways6"/>
      <sheetName val="C-Wall_BOQ6"/>
      <sheetName val="GR_slab-reinft6"/>
      <sheetName val="PointNo_53"/>
      <sheetName val="Stress_Calculation3"/>
      <sheetName val="GUT_(2)3"/>
      <sheetName val="SPT_vs_PHI3"/>
      <sheetName val="Bill_No_2_to_8_(Rev)3"/>
      <sheetName val="Bill_3_-_Site_Works3"/>
      <sheetName val="PRECAST_lightconc-II3"/>
      <sheetName val="Fill_this_out_first___3"/>
      <sheetName val="GF_Columns3"/>
      <sheetName val="Assumption_Inputs3"/>
      <sheetName val="_Net_Break_Down3"/>
      <sheetName val="BSH_num3"/>
      <sheetName val="11B_3"/>
      <sheetName val="Tender_Summary3"/>
      <sheetName val="Staff_Acco_3"/>
      <sheetName val="Debits_as_on_12_04_083"/>
      <sheetName val="SITE_OVERHEADS3"/>
      <sheetName val="labour_coeff3"/>
      <sheetName val="K_Ajeet3"/>
      <sheetName val="AutoOpen_Stub_Data2"/>
      <sheetName val="Fin_Sum2"/>
      <sheetName val="Bridges_RB2"/>
      <sheetName val="Analysis_Justi_2"/>
      <sheetName val="Qty_Esti_-TCS2"/>
      <sheetName val="Abst_Jo2"/>
      <sheetName val="INDIGINEOUS_ITEMS_2"/>
      <sheetName val="07016,_Master_List-Major_Minor2"/>
      <sheetName val="SUMMARY_ALL_CO'S2"/>
      <sheetName val="C_Sum2"/>
      <sheetName val="A_Sum2"/>
      <sheetName val="Break_up_Sheet2"/>
      <sheetName val="Deduction_of_assets2"/>
      <sheetName val="S_&amp;_A2"/>
      <sheetName val="4_Annex_1_Basic_rate2"/>
      <sheetName val="Detail_In_Door_Stad2"/>
      <sheetName val="5_NOT_REQUIRED2"/>
      <sheetName val="Bank_Guarantee2"/>
      <sheetName val="9. Package split - Cost "/>
      <sheetName val="strand"/>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Basement_Budget"/>
      <sheetName val="PROG_SUMMARY"/>
      <sheetName val="INPUT_SHEET"/>
      <sheetName val="FITZ_MORT_94"/>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lookups"/>
      <sheetName val="ref"/>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r"/>
      <sheetName val="recon "/>
      <sheetName val="04-05"/>
      <sheetName val="05-06"/>
      <sheetName val=" 04 - 0 5"/>
      <sheetName val="05 -  0 6 "/>
      <sheetName val="TOTAL"/>
      <sheetName val="Statement"/>
      <sheetName val="Macro"/>
      <sheetName val="Micro"/>
      <sheetName val="Prelims Rose"/>
      <sheetName val="P&amp;M"/>
      <sheetName val="Materials"/>
      <sheetName val="Safety"/>
      <sheetName val="Indian tools"/>
      <sheetName val="COST-SFT- FOR COS"/>
      <sheetName val="RMC Backup"/>
      <sheetName val="MS ITEMS"/>
      <sheetName val="German tools "/>
      <sheetName val="Runners"/>
      <sheetName val="Plywood"/>
      <sheetName val="Lab"/>
      <sheetName val="OTHER PRELIM"/>
      <sheetName val="MOBILISATION"/>
      <sheetName val="Scaff-Rose"/>
      <sheetName val="SALARY Company -Rose"/>
      <sheetName val="NMR"/>
      <sheetName val="PETTY CASH-Rose"/>
      <sheetName val="Security-Rose"/>
      <sheetName val="Site Operating Expenses"/>
      <sheetName val="Scaff_Rose"/>
      <sheetName val="Break up Sheet"/>
      <sheetName val="Civil Boq"/>
      <sheetName val="final abstract"/>
      <sheetName val="Rate analysis"/>
      <sheetName val="GM &amp; TA"/>
      <sheetName val="jobhist"/>
      <sheetName val="Analy_7-10"/>
      <sheetName val="Fin Sum"/>
      <sheetName val="SBI(Siliguri)"/>
      <sheetName val="D5"/>
      <sheetName val="beam-reinft"/>
      <sheetName val="IV-Utility"/>
      <sheetName val="Sheet1"/>
      <sheetName val="concrete"/>
      <sheetName val="Data sheet"/>
      <sheetName val="Qty Tracking With Rate"/>
      <sheetName val="COST"/>
      <sheetName val="gf"/>
      <sheetName val="Main-Material"/>
      <sheetName val="analysis"/>
      <sheetName val="13. Steel - Ratio"/>
      <sheetName val="D5-P&amp;L"/>
      <sheetName val="NLD - Assum"/>
      <sheetName val="Introduction"/>
      <sheetName val="Model (Not Merged)"/>
      <sheetName val="Summary year Plan"/>
      <sheetName val="CFForecast detail"/>
      <sheetName val="wordsdata"/>
      <sheetName val="細目"/>
      <sheetName val="RateAnalysis"/>
      <sheetName val="Boq_ structure "/>
      <sheetName val="Input"/>
      <sheetName val="Direct cost shed A-2 "/>
      <sheetName val="Basic Rates"/>
      <sheetName val="Abstract Sheet"/>
      <sheetName val="RATE.XLS"/>
      <sheetName val="recon_"/>
      <sheetName val="_04_-_0_5"/>
      <sheetName val="05_-__0_6_"/>
      <sheetName val="Prelims_Rose"/>
      <sheetName val="Indian_tools"/>
      <sheetName val="COST-SFT-_FOR_COS"/>
      <sheetName val="RMC_Backup"/>
      <sheetName val="MS_ITEMS"/>
      <sheetName val="German_tools_"/>
      <sheetName val="OTHER_PRELIM"/>
      <sheetName val="SALARY_Company_-Rose"/>
      <sheetName val="PETTY_CASH-Rose"/>
      <sheetName val="Site_Operating_Expenses"/>
      <sheetName val="Break_up_Sheet"/>
      <sheetName val="Rate_analysis"/>
      <sheetName val="Abstract_Sheet"/>
      <sheetName val="GM_&amp;_TA"/>
      <sheetName val="final_abstract"/>
      <sheetName val="Civil_Boq"/>
      <sheetName val="Fin_Sum"/>
      <sheetName val="RATE_XLS"/>
      <sheetName val="Data_sheet"/>
      <sheetName val="NLD_-_Assum"/>
      <sheetName val="recon_1"/>
      <sheetName val="_04_-_0_51"/>
      <sheetName val="05_-__0_6_1"/>
      <sheetName val="Prelims_Rose1"/>
      <sheetName val="Indian_tools1"/>
      <sheetName val="COST-SFT-_FOR_COS1"/>
      <sheetName val="RMC_Backup1"/>
      <sheetName val="MS_ITEMS1"/>
      <sheetName val="German_tools_1"/>
      <sheetName val="OTHER_PRELIM1"/>
      <sheetName val="SALARY_Company_-Rose1"/>
      <sheetName val="PETTY_CASH-Rose1"/>
      <sheetName val="Site_Operating_Expenses1"/>
      <sheetName val="Break_up_Sheet1"/>
      <sheetName val="Rate_analysis1"/>
      <sheetName val="Abstract_Sheet1"/>
      <sheetName val="GM_&amp;_TA1"/>
      <sheetName val="final_abstract1"/>
      <sheetName val="Civil_Boq1"/>
      <sheetName val="Fin_Sum1"/>
      <sheetName val="RATE_XLS1"/>
      <sheetName val="PRECAST lightconc-II"/>
      <sheetName val="Page1"/>
      <sheetName val="Window"/>
      <sheetName val="Summary 0506"/>
      <sheetName val="Summary 0607- 31.MAR"/>
      <sheetName val="RCC,Ret. Wall"/>
      <sheetName val="Quote Sheet"/>
      <sheetName val="Boq"/>
      <sheetName val="Quote_Sheet"/>
      <sheetName val="Summary_year_Plan"/>
      <sheetName val="May"/>
      <sheetName val="RENT MASTER FILE"/>
      <sheetName val="Summary_0506"/>
      <sheetName val="Summary_0607-_31_MAR"/>
      <sheetName val="RENT_MASTER_FILE"/>
      <sheetName val="Qty_Tracking_With_Rate"/>
      <sheetName val="13__Steel_-_Ratio"/>
      <sheetName val="ELECT"/>
      <sheetName val="rcc( sub)"/>
      <sheetName val="analysis-superstructure"/>
      <sheetName val="Aug 05-SOBHA Rose- P Q S Revise"/>
      <sheetName val="Footings"/>
      <sheetName val="Name Lists"/>
      <sheetName val="Civil Meas"/>
      <sheetName val="tables"/>
      <sheetName val="Legend-Finishing Activities"/>
      <sheetName val="ONCOST-N_top sheet j&amp;p"/>
      <sheetName val="Sheet2"/>
      <sheetName val="XREF"/>
      <sheetName val="Inputs"/>
      <sheetName val="Settings"/>
      <sheetName val="Project Details.."/>
      <sheetName val="co_5"/>
      <sheetName val="seT"/>
      <sheetName val="THK"/>
      <sheetName val="SSR _ NSSR Market final"/>
      <sheetName val="SSR &amp; NSSR Market final"/>
      <sheetName val="Legal Risk Analysis"/>
      <sheetName val="Ward areas"/>
      <sheetName val="Attributes"/>
      <sheetName val="DGT"/>
      <sheetName val="det_est"/>
      <sheetName val="Data"/>
      <sheetName val="预算"/>
      <sheetName val="Mar03Atp"/>
      <sheetName val="monitoring-breakup Feb02"/>
      <sheetName val="Notes"/>
      <sheetName val="Summary_05061"/>
      <sheetName val="Summary_0607-_31_MAR1"/>
      <sheetName val="RENT_MASTER_FILE1"/>
      <sheetName val="Data_sheet1"/>
      <sheetName val="Qty_Tracking_With_Rate1"/>
      <sheetName val="13__Steel_-_Ratio1"/>
      <sheetName val="rcc(_sub)"/>
      <sheetName val="Model_(Not_Merged)"/>
      <sheetName val="tuong"/>
      <sheetName val="sept-plan"/>
      <sheetName val="Design"/>
      <sheetName val="PURCHASE REQUISITION STATUS"/>
      <sheetName val="Wag&amp;Sal"/>
      <sheetName val="Labor abs-NMR"/>
      <sheetName val="Sheet3 (2)"/>
      <sheetName val="RP2"/>
      <sheetName val="est"/>
      <sheetName val="d-safe specs"/>
      <sheetName val="Arch"/>
      <sheetName val="TBAL9697 -group wise  sdpl"/>
      <sheetName val="Load Details(B1)"/>
      <sheetName val="master"/>
      <sheetName val="Construction"/>
      <sheetName val="Summary"/>
      <sheetName val="Interior"/>
      <sheetName val="ELECTRICAL"/>
      <sheetName val="FAS"/>
      <sheetName val="Breakup"/>
      <sheetName val="Network "/>
      <sheetName val="HVAC"/>
      <sheetName val="AV works"/>
      <sheetName val="HPL"/>
      <sheetName val="재1"/>
      <sheetName val="GD"/>
      <sheetName val="L.B.D"/>
      <sheetName val="Septic Tank"/>
      <sheetName val="B1"/>
      <sheetName val="Material "/>
      <sheetName val="Staff Forecast spread"/>
      <sheetName val="2gii"/>
      <sheetName val="Fee Rate Summary"/>
      <sheetName val="Risk Analysis"/>
      <sheetName val="?????"/>
      <sheetName val="Top_Sheet"/>
      <sheetName val="계정"/>
      <sheetName val="_____"/>
      <sheetName val="Boq__structure_"/>
      <sheetName val="Direct_cost_shed_A-2_"/>
      <sheetName val="NLD_-_Assum1"/>
      <sheetName val="Boq__structure_1"/>
      <sheetName val="Direct_cost_shed_A-2_1"/>
      <sheetName val="nanjprofit"/>
      <sheetName val="RA-markate"/>
      <sheetName val="Names&amp;Cases"/>
      <sheetName val="Assumptions"/>
      <sheetName val="FCCB "/>
      <sheetName val="shuttering"/>
      <sheetName val="SITEL"/>
      <sheetName val="Inter unit set off"/>
      <sheetName val="BHANDUP"/>
      <sheetName val="12"/>
      <sheetName val="MASTER - MARCH"/>
      <sheetName val="ACS(1)"/>
      <sheetName val="FAS-C(4)"/>
      <sheetName val="CCTV(old)"/>
      <sheetName val="INTERIOR "/>
      <sheetName val="PFF-est"/>
      <sheetName val="Validation list"/>
      <sheetName val="Back filling"/>
      <sheetName val="NT items summary"/>
      <sheetName val="Basement Budget"/>
      <sheetName val="Factors"/>
      <sheetName val="Parametry"/>
      <sheetName val="CABLERET"/>
      <sheetName val="Load Details(B2)"/>
      <sheetName val="meas-wp"/>
      <sheetName val="3"/>
      <sheetName val="Conc"/>
      <sheetName val="recon_2"/>
      <sheetName val="_04_-_0_52"/>
      <sheetName val="05_-__0_6_2"/>
      <sheetName val="Prelims_Rose2"/>
      <sheetName val="Indian_tools2"/>
      <sheetName val="COST-SFT-_FOR_COS2"/>
      <sheetName val="RMC_Backup2"/>
      <sheetName val="MS_ITEMS2"/>
      <sheetName val="German_tools_2"/>
      <sheetName val="OTHER_PRELIM2"/>
      <sheetName val="SALARY_Company_-Rose2"/>
      <sheetName val="PETTY_CASH-Rose2"/>
      <sheetName val="Site_Operating_Expenses2"/>
      <sheetName val="Break_up_Sheet2"/>
      <sheetName val="Rate_analysis2"/>
      <sheetName val="Abstract_Sheet2"/>
      <sheetName val="GM_&amp;_TA2"/>
      <sheetName val="final_abstract2"/>
      <sheetName val="Civil_Boq2"/>
      <sheetName val="Fin_Sum2"/>
      <sheetName val="RATE_XLS2"/>
      <sheetName val="Data_sheet2"/>
      <sheetName val="Model_(Not_Merged)1"/>
      <sheetName val="Summary_year_Plan1"/>
      <sheetName val="Qty_Tracking_With_Rate2"/>
      <sheetName val="13__Steel_-_Ratio2"/>
      <sheetName val="PRECAST_lightconc-II"/>
      <sheetName val="Summary_05062"/>
      <sheetName val="Summary_0607-_31_MAR2"/>
      <sheetName val="Name_Lists"/>
      <sheetName val="CFForecast_detail"/>
      <sheetName val="RENT_MASTER_FILE2"/>
      <sheetName val="rcc(_sub)1"/>
      <sheetName val="Quote_Sheet1"/>
      <sheetName val="Basic_Rates"/>
      <sheetName val="monitoring-breakup_Feb02"/>
      <sheetName val="Aug_05-SOBHA_Rose-_P_Q_S_Revise"/>
      <sheetName val="ONCOST-N_top_sheet_j&amp;p"/>
      <sheetName val="Civil_Meas"/>
      <sheetName val="PURCHASE_REQUISITION_STATUS"/>
      <sheetName val="d-safe_specs"/>
      <sheetName val="Calc_ISC"/>
      <sheetName val="Pile径1m･27"/>
      <sheetName val="GRSummary"/>
      <sheetName val="Stacked Column"/>
      <sheetName val="Scatter"/>
      <sheetName val="PriceSummary"/>
      <sheetName val="Detailed Summary (5)"/>
      <sheetName val="PRL"/>
      <sheetName val="A.O.R."/>
      <sheetName val="SRC-B3U2"/>
      <sheetName val="Contents"/>
      <sheetName val="allocation"/>
      <sheetName val="Labor_abs-NMR"/>
      <sheetName val="Sheet3_(2)"/>
      <sheetName val="Load_Details(B1)"/>
      <sheetName val="FCCB_"/>
      <sheetName val="labour coeff"/>
      <sheetName val="Timesheet"/>
      <sheetName val="Measurment"/>
      <sheetName val="NON-TOWER WATER TANK"/>
      <sheetName val="num-word"/>
      <sheetName val="A"/>
      <sheetName val="CASHFLOWS"/>
      <sheetName val="MASTER_RATE ANALYSIS"/>
      <sheetName val="9. Package split - Cost "/>
      <sheetName val="Staff"/>
      <sheetName val="Pile cap"/>
      <sheetName val="Material_"/>
      <sheetName val="149"/>
      <sheetName val="dBase"/>
      <sheetName val="Factor_sheet"/>
      <sheetName val="A_O_R_"/>
      <sheetName val="TBAL9697_-group_wise__sdpl"/>
      <sheetName val="Staff_Forecast_spread"/>
      <sheetName val="Network_"/>
      <sheetName val="AV_works"/>
      <sheetName val="Pile_cap"/>
      <sheetName val="RCC,Ret__Wall"/>
      <sheetName val="Bu_Lookup"/>
      <sheetName val="GL_Lookup"/>
      <sheetName val="SALE"/>
      <sheetName val="Schd 8 Input"/>
      <sheetName val="Bill 3 - Site Works"/>
      <sheetName val="9"/>
      <sheetName val="BFS"/>
      <sheetName val="Controls"/>
      <sheetName val="girder"/>
      <sheetName val="99 조정금액"/>
      <sheetName val="경비공통"/>
      <sheetName val="PointNo.5"/>
      <sheetName val="COA-17"/>
      <sheetName val="C-18"/>
      <sheetName val="Column steel"/>
      <sheetName val="STEEL STRUCTURE"/>
      <sheetName val="Code"/>
      <sheetName val="Dashboard"/>
      <sheetName val="Finishing"/>
      <sheetName val="Commercial Impact"/>
      <sheetName val="Deviation Impact"/>
      <sheetName val="Deviation Impact_Closure"/>
      <sheetName val="Irregularities"/>
      <sheetName val="Abstract"/>
      <sheetName val="200mm BW"/>
      <sheetName val="VDF"/>
      <sheetName val="Kotah skirting"/>
      <sheetName val="Parameter"/>
      <sheetName val="1_Project_Profile"/>
      <sheetName val="s"/>
      <sheetName val="INDIGINEOUS ITEMS "/>
      <sheetName val="Supplier"/>
      <sheetName val="Consolidated"/>
      <sheetName val="COMPLEXALL"/>
      <sheetName val="bar bending"/>
      <sheetName val="GF Columns"/>
      <sheetName val="Costing"/>
      <sheetName val="Inter_unit_set_off"/>
      <sheetName val="recon_3"/>
      <sheetName val="_04_-_0_53"/>
      <sheetName val="05_-__0_6_3"/>
      <sheetName val="Prelims_Rose3"/>
      <sheetName val="Indian_tools3"/>
      <sheetName val="COST-SFT-_FOR_COS3"/>
      <sheetName val="RMC_Backup3"/>
      <sheetName val="MS_ITEMS3"/>
      <sheetName val="German_tools_3"/>
      <sheetName val="OTHER_PRELIM3"/>
      <sheetName val="SALARY_Company_-Rose3"/>
      <sheetName val="PETTY_CASH-Rose3"/>
      <sheetName val="Site_Operating_Expenses3"/>
      <sheetName val="Break_up_Sheet3"/>
      <sheetName val="recon_4"/>
      <sheetName val="_04_-_0_54"/>
      <sheetName val="05_-__0_6_4"/>
      <sheetName val="Prelims_Rose4"/>
      <sheetName val="Indian_tools4"/>
      <sheetName val="COST-SFT-_FOR_COS4"/>
      <sheetName val="RMC_Backup4"/>
      <sheetName val="MS_ITEMS4"/>
      <sheetName val="German_tools_4"/>
      <sheetName val="OTHER_PRELIM4"/>
      <sheetName val="SALARY_Company_-Rose4"/>
      <sheetName val="PETTY_CASH-Rose4"/>
      <sheetName val="Site_Operating_Expenses4"/>
      <sheetName val="Break_up_Sheet4"/>
      <sheetName val="recon_5"/>
      <sheetName val="_04_-_0_55"/>
      <sheetName val="05_-__0_6_5"/>
      <sheetName val="Prelims_Rose5"/>
      <sheetName val="Indian_tools5"/>
      <sheetName val="COST-SFT-_FOR_COS5"/>
      <sheetName val="RMC_Backup5"/>
      <sheetName val="MS_ITEMS5"/>
      <sheetName val="German_tools_5"/>
      <sheetName val="OTHER_PRELIM5"/>
      <sheetName val="SALARY_Company_-Rose5"/>
      <sheetName val="PETTY_CASH-Rose5"/>
      <sheetName val="Site_Operating_Expenses5"/>
      <sheetName val="Break_up_Sheet5"/>
      <sheetName val="BOQ Distribution"/>
      <sheetName val="cubes_M20"/>
      <sheetName val="Project Budget Worksheet"/>
      <sheetName val="Projects"/>
      <sheetName val="App Q"/>
      <sheetName val="Digestion"/>
      <sheetName val="Aseet1998"/>
      <sheetName val="RECAPITULATION"/>
      <sheetName val="PC Master List"/>
      <sheetName val="switch"/>
      <sheetName val="L&amp;T Shop Floor Drawings Status"/>
      <sheetName val="keyword"/>
      <sheetName val="2.1 受電設備棟"/>
      <sheetName val="2.2 受・防火水槽"/>
      <sheetName val="2.3 排水処理設備棟"/>
      <sheetName val="2.4 倉庫棟"/>
      <sheetName val="2.5 守衛棟"/>
      <sheetName val="BOQ -II ph 2"/>
      <sheetName val="품의서(TL)"/>
      <sheetName val="SECURITY 1"/>
      <sheetName val="Macro1"/>
      <sheetName val="INPUT SHEET"/>
      <sheetName val="Price Comparison"/>
      <sheetName val="Detail"/>
      <sheetName val="Headings"/>
      <sheetName val="calcul"/>
      <sheetName val="Voucher"/>
      <sheetName val="Lead"/>
      <sheetName val="10. &amp; 11. Rate Code &amp; BQ"/>
      <sheetName val="NOT FULL RESTRAINT"/>
      <sheetName val="BEARING &amp; BUCKLING"/>
      <sheetName val="PFC"/>
      <sheetName val="UC"/>
      <sheetName val="RSJ"/>
      <sheetName val="Sheet3"/>
      <sheetName val="PRICE COMP"/>
      <sheetName val="except wiring"/>
      <sheetName val="Field Values"/>
      <sheetName val="Material"/>
      <sheetName val="GBW"/>
      <sheetName val="REPAIR&amp; MAINT"/>
      <sheetName val="pri-com"/>
      <sheetName val="COLUMN"/>
      <sheetName val="QS Name"/>
      <sheetName val="Insts"/>
      <sheetName val="Approved MTD Proj #'s"/>
      <sheetName val="Indices"/>
      <sheetName val="電気設備表"/>
      <sheetName val="Pile Cap-Design"/>
      <sheetName val="Lead (Final)"/>
      <sheetName val="NLD_-_Assum2"/>
      <sheetName val="Boq__structure_2"/>
      <sheetName val="Direct_cost_shed_A-2_2"/>
      <sheetName val="Legend-Finishing_Activities"/>
      <sheetName val="Risk_Analysis"/>
      <sheetName val="INTERIOR_"/>
      <sheetName val="MASTER_-_MARCH"/>
      <sheetName val="Macro4"/>
      <sheetName val="Plant &amp;  Machinery"/>
      <sheetName val="Final Bill of Material"/>
      <sheetName val="Final_Bill_of_Material"/>
      <sheetName val="NON-TOWER_WATER_TANK"/>
      <sheetName val="Back_filling"/>
      <sheetName val="NT_items_summary"/>
      <sheetName val="Basement_Budget"/>
      <sheetName val="Validation_list"/>
      <sheetName val="Fee_Rate_Summary"/>
      <sheetName val="BOQ_-II_ph_2"/>
      <sheetName val="bar_bending"/>
      <sheetName val="GF_Columns"/>
      <sheetName val="3C,3.5C &amp; 4C Data"/>
      <sheetName val="KPIs"/>
      <sheetName val="XL4Poppy"/>
      <sheetName val="Site Dev BOQ"/>
      <sheetName val="PNL"/>
      <sheetName val="L_B_D"/>
      <sheetName val="Basisdaten"/>
      <sheetName val="#REF"/>
      <sheetName val="Fixed Assets Schedule"/>
      <sheetName val="FY00Budget info"/>
      <sheetName val="pivot"/>
      <sheetName val="ref"/>
      <sheetName val="MG"/>
      <sheetName val="VCH-SLC"/>
      <sheetName val="Totowa commitment"/>
      <sheetName val="crews"/>
      <sheetName val="Boiler&amp;TG"/>
      <sheetName val="CERTIFICATE"/>
      <sheetName val="sheeet7"/>
      <sheetName val="Project Info"/>
      <sheetName val="Rate_analysis3"/>
      <sheetName val="GM_&amp;_TA3"/>
      <sheetName val="final_abstract3"/>
      <sheetName val="Civil_Boq3"/>
      <sheetName val="Fin_Sum3"/>
      <sheetName val="RATE_XLS3"/>
      <sheetName val="Summary_05063"/>
      <sheetName val="Summary_0607-_31_MAR3"/>
      <sheetName val="RENT_MASTER_FILE3"/>
      <sheetName val="Data_sheet3"/>
      <sheetName val="Qty_Tracking_With_Rate3"/>
      <sheetName val="13__Steel_-_Ratio3"/>
      <sheetName val="rcc(_sub)2"/>
      <sheetName val="Model_(Not_Merged)2"/>
      <sheetName val="Summary_year_Plan2"/>
      <sheetName val="ONCOST-N_top_sheet_j&amp;p1"/>
      <sheetName val="A_O_R_1"/>
      <sheetName val="CFForecast_detail1"/>
      <sheetName val="Abstract_Sheet3"/>
      <sheetName val="PRECAST_lightconc-II1"/>
      <sheetName val="Name_Lists1"/>
      <sheetName val="RCC,Ret__Wall1"/>
      <sheetName val="monitoring-breakup_Feb021"/>
      <sheetName val="Quote_Sheet2"/>
      <sheetName val="Aug_05-SOBHA_Rose-_P_Q_S_Revis1"/>
      <sheetName val="Basic_Rates1"/>
      <sheetName val="Civil_Meas1"/>
      <sheetName val="PURCHASE_REQUISITION_STATUS1"/>
      <sheetName val="Load_Details(B1)1"/>
      <sheetName val="Project_Info"/>
      <sheetName val="horizontal"/>
      <sheetName val="CashFlow"/>
      <sheetName val="Comp"/>
      <sheetName val="orderbking_0204_0209"/>
      <sheetName val="YTD"/>
      <sheetName val="Q-Data"/>
      <sheetName val="Cal"/>
      <sheetName val="GS- Pro Services EMEA"/>
      <sheetName val="Old"/>
      <sheetName val="Report"/>
      <sheetName val="Ass4"/>
      <sheetName val="DCF"/>
      <sheetName val="Key Ass"/>
      <sheetName val="00001-00200"/>
      <sheetName val="Anlysis"/>
      <sheetName val="Pur"/>
      <sheetName val="List"/>
      <sheetName val="std.wt."/>
      <sheetName val="Detail In Door Stad"/>
      <sheetName val="recon_6"/>
      <sheetName val="_04_-_0_56"/>
      <sheetName val="05_-__0_6_6"/>
      <sheetName val="Prelims_Rose6"/>
      <sheetName val="Indian_tools6"/>
      <sheetName val="COST-SFT-_FOR_COS6"/>
      <sheetName val="RMC_Backup6"/>
      <sheetName val="MS_ITEMS6"/>
      <sheetName val="German_tools_6"/>
      <sheetName val="OTHER_PRELIM6"/>
      <sheetName val="SALARY_Company_-Rose6"/>
      <sheetName val="PETTY_CASH-Rose6"/>
      <sheetName val="Site_Operating_Expenses6"/>
      <sheetName val="Break_up_Sheet6"/>
    </sheetNames>
    <sheetDataSet>
      <sheetData sheetId="0"/>
      <sheetData sheetId="1"/>
      <sheetData sheetId="2"/>
      <sheetData sheetId="3"/>
      <sheetData sheetId="4"/>
      <sheetData sheetId="5"/>
      <sheetData sheetId="6"/>
      <sheetData sheetId="7" refreshError="1"/>
      <sheetData sheetId="8" refreshError="1">
        <row r="9">
          <cell r="A9" t="str">
            <v>I</v>
          </cell>
          <cell r="B9" t="str">
            <v>Establishment</v>
          </cell>
        </row>
        <row r="10">
          <cell r="A10">
            <v>1</v>
          </cell>
          <cell r="B10" t="str">
            <v>Site staff</v>
          </cell>
          <cell r="F10">
            <v>6519000</v>
          </cell>
          <cell r="G10" t="str">
            <v>-</v>
          </cell>
          <cell r="H10">
            <v>2510553.3980582524</v>
          </cell>
          <cell r="K10">
            <v>3148897.9073840366</v>
          </cell>
          <cell r="Q10">
            <v>-638344.50932578417</v>
          </cell>
        </row>
        <row r="11">
          <cell r="A11">
            <v>2</v>
          </cell>
          <cell r="B11" t="str">
            <v>Site operating expenses</v>
          </cell>
          <cell r="F11">
            <v>920250</v>
          </cell>
          <cell r="G11" t="str">
            <v>-</v>
          </cell>
          <cell r="H11">
            <v>354400.48543689324</v>
          </cell>
          <cell r="K11">
            <v>382268.16000000003</v>
          </cell>
          <cell r="Q11">
            <v>-27867.67456310679</v>
          </cell>
          <cell r="X11" t="str">
            <v>should be updated</v>
          </cell>
        </row>
        <row r="12">
          <cell r="A12">
            <v>3</v>
          </cell>
          <cell r="B12" t="str">
            <v xml:space="preserve">Security charges </v>
          </cell>
          <cell r="F12">
            <v>3048480</v>
          </cell>
          <cell r="G12" t="str">
            <v>-</v>
          </cell>
          <cell r="H12">
            <v>1174010.0970873786</v>
          </cell>
          <cell r="K12">
            <v>526238.05999999994</v>
          </cell>
          <cell r="Q12">
            <v>647772.03708737867</v>
          </cell>
          <cell r="X12" t="str">
            <v>check the rate for salary</v>
          </cell>
        </row>
        <row r="13">
          <cell r="A13">
            <v>4</v>
          </cell>
          <cell r="B13" t="str">
            <v>Welfare</v>
          </cell>
          <cell r="F13">
            <v>52500</v>
          </cell>
          <cell r="G13" t="str">
            <v>-</v>
          </cell>
          <cell r="H13">
            <v>20218.446601941749</v>
          </cell>
          <cell r="K13">
            <v>43600.39</v>
          </cell>
          <cell r="Q13">
            <v>-23381.943398058251</v>
          </cell>
        </row>
        <row r="14">
          <cell r="A14">
            <v>5</v>
          </cell>
          <cell r="B14" t="str">
            <v xml:space="preserve">Bhoomi Pooja </v>
          </cell>
          <cell r="F14">
            <v>10000</v>
          </cell>
          <cell r="G14" t="str">
            <v>-</v>
          </cell>
          <cell r="H14">
            <v>3851.1326860841423</v>
          </cell>
          <cell r="K14">
            <v>1168</v>
          </cell>
          <cell r="Q14">
            <v>2683.1326860841423</v>
          </cell>
          <cell r="X14" t="str">
            <v>check with the admin</v>
          </cell>
          <cell r="Y14" t="str">
            <v>pooja expenaes</v>
          </cell>
        </row>
        <row r="15">
          <cell r="B15" t="str">
            <v>TOTAL</v>
          </cell>
          <cell r="F15">
            <v>10550230</v>
          </cell>
          <cell r="H15">
            <v>4063033.5598705499</v>
          </cell>
          <cell r="J15">
            <v>0</v>
          </cell>
          <cell r="K15">
            <v>4102172.5173840369</v>
          </cell>
          <cell r="Q15">
            <v>-39138.95751348645</v>
          </cell>
        </row>
        <row r="16">
          <cell r="B16" t="str">
            <v xml:space="preserve">COST PER SFT </v>
          </cell>
          <cell r="F16">
            <v>30.737386947878978</v>
          </cell>
          <cell r="H16">
            <v>11.837375555979282</v>
          </cell>
          <cell r="J16">
            <v>0</v>
          </cell>
          <cell r="K16">
            <v>11.951404281592717</v>
          </cell>
          <cell r="Q16">
            <v>-0.1140287256134348</v>
          </cell>
        </row>
        <row r="18">
          <cell r="A18" t="str">
            <v>II</v>
          </cell>
          <cell r="B18" t="str">
            <v>Mobilization</v>
          </cell>
        </row>
        <row r="19">
          <cell r="A19">
            <v>1</v>
          </cell>
          <cell r="B19" t="str">
            <v>Site Clearance</v>
          </cell>
          <cell r="F19">
            <v>9218.75</v>
          </cell>
          <cell r="H19">
            <v>9218.75</v>
          </cell>
          <cell r="K19">
            <v>8735.9274999999998</v>
          </cell>
          <cell r="Q19">
            <v>482.82250000000022</v>
          </cell>
          <cell r="X19" t="str">
            <v>labour bills should be updated</v>
          </cell>
        </row>
        <row r="20">
          <cell r="A20">
            <v>2</v>
          </cell>
          <cell r="B20" t="str">
            <v>Roads &amp; pathways</v>
          </cell>
          <cell r="F20">
            <v>20000</v>
          </cell>
          <cell r="H20">
            <v>20000</v>
          </cell>
          <cell r="K20">
            <v>1515</v>
          </cell>
          <cell r="Q20">
            <v>18485</v>
          </cell>
          <cell r="X20" t="str">
            <v>labour bills should be updated</v>
          </cell>
        </row>
        <row r="21">
          <cell r="A21">
            <v>3</v>
          </cell>
          <cell r="B21" t="str">
            <v>Soil Test</v>
          </cell>
          <cell r="F21">
            <v>90000</v>
          </cell>
          <cell r="H21" t="str">
            <v>-</v>
          </cell>
          <cell r="K21">
            <v>0</v>
          </cell>
          <cell r="X21" t="str">
            <v>labour bills should be updated</v>
          </cell>
        </row>
        <row r="22">
          <cell r="A22">
            <v>4</v>
          </cell>
          <cell r="B22" t="str">
            <v>Temporary Structures</v>
          </cell>
          <cell r="F22">
            <v>800000</v>
          </cell>
          <cell r="G22">
            <v>800000</v>
          </cell>
          <cell r="H22">
            <v>800000</v>
          </cell>
          <cell r="K22">
            <v>410069.17878223601</v>
          </cell>
          <cell r="Q22">
            <v>389930.82121776399</v>
          </cell>
        </row>
        <row r="23">
          <cell r="A23">
            <v>5</v>
          </cell>
          <cell r="B23" t="str">
            <v>Barricading</v>
          </cell>
          <cell r="F23">
            <v>50000</v>
          </cell>
          <cell r="H23">
            <v>19255.663430420711</v>
          </cell>
          <cell r="K23">
            <v>51287.472500000003</v>
          </cell>
          <cell r="Q23">
            <v>-32031.809069579293</v>
          </cell>
        </row>
        <row r="24">
          <cell r="A24">
            <v>6</v>
          </cell>
          <cell r="B24" t="str">
            <v>Office Equipments</v>
          </cell>
          <cell r="F24">
            <v>41218.44</v>
          </cell>
          <cell r="G24">
            <v>41218.44</v>
          </cell>
          <cell r="H24">
            <v>41218.44</v>
          </cell>
          <cell r="K24">
            <v>102000</v>
          </cell>
          <cell r="Q24">
            <v>-60781.56</v>
          </cell>
        </row>
        <row r="25">
          <cell r="A25">
            <v>7</v>
          </cell>
          <cell r="B25" t="str">
            <v>Furnitures &amp; fixtures</v>
          </cell>
          <cell r="F25">
            <v>72120.600000000006</v>
          </cell>
          <cell r="G25">
            <v>72120.600000000006</v>
          </cell>
          <cell r="H25">
            <v>72120.600000000006</v>
          </cell>
          <cell r="K25">
            <v>21082</v>
          </cell>
          <cell r="Q25">
            <v>51038.600000000006</v>
          </cell>
        </row>
        <row r="26">
          <cell r="A26">
            <v>8</v>
          </cell>
          <cell r="B26" t="str">
            <v>Borewells</v>
          </cell>
          <cell r="F26">
            <v>216000</v>
          </cell>
          <cell r="H26">
            <v>216000</v>
          </cell>
          <cell r="K26">
            <v>263210</v>
          </cell>
          <cell r="Q26">
            <v>-47210</v>
          </cell>
        </row>
        <row r="27">
          <cell r="A27">
            <v>9</v>
          </cell>
          <cell r="B27" t="str">
            <v>Water Tanks</v>
          </cell>
          <cell r="F27">
            <v>27000</v>
          </cell>
          <cell r="H27">
            <v>27000</v>
          </cell>
          <cell r="K27">
            <v>53900</v>
          </cell>
          <cell r="Q27">
            <v>-26900</v>
          </cell>
        </row>
        <row r="28">
          <cell r="B28" t="str">
            <v>TOTAL</v>
          </cell>
          <cell r="F28">
            <v>1325557.79</v>
          </cell>
          <cell r="H28">
            <v>1204813.4534304207</v>
          </cell>
          <cell r="I28">
            <v>0</v>
          </cell>
          <cell r="J28">
            <v>0</v>
          </cell>
          <cell r="K28">
            <v>911799.57878223597</v>
          </cell>
          <cell r="Q28">
            <v>293013.87464818475</v>
          </cell>
        </row>
        <row r="29">
          <cell r="B29" t="str">
            <v xml:space="preserve">COST PER SFT </v>
          </cell>
          <cell r="F29">
            <v>3.8619236464992044</v>
          </cell>
          <cell r="H29">
            <v>3.5101431265575451</v>
          </cell>
          <cell r="I29">
            <v>0</v>
          </cell>
          <cell r="J29">
            <v>0</v>
          </cell>
          <cell r="K29">
            <v>2.6564668705746364</v>
          </cell>
          <cell r="Q29">
            <v>0.85367625598290842</v>
          </cell>
        </row>
        <row r="31">
          <cell r="A31" t="str">
            <v>III</v>
          </cell>
          <cell r="B31" t="str">
            <v>OTHER PRELIMINARIES</v>
          </cell>
        </row>
        <row r="32">
          <cell r="A32">
            <v>1</v>
          </cell>
          <cell r="B32" t="str">
            <v>Staff Accomodation</v>
          </cell>
          <cell r="F32">
            <v>94500</v>
          </cell>
          <cell r="H32">
            <v>36393.203883495145</v>
          </cell>
          <cell r="K32">
            <v>126866.66666666667</v>
          </cell>
          <cell r="Q32">
            <v>-90473.462783171533</v>
          </cell>
        </row>
        <row r="33">
          <cell r="A33">
            <v>2</v>
          </cell>
          <cell r="B33" t="str">
            <v xml:space="preserve">Marking masons </v>
          </cell>
          <cell r="F33">
            <v>327600</v>
          </cell>
          <cell r="H33">
            <v>126163.10679611651</v>
          </cell>
          <cell r="K33">
            <v>51892.35</v>
          </cell>
          <cell r="Q33">
            <v>74270.756796116504</v>
          </cell>
        </row>
        <row r="34">
          <cell r="A34">
            <v>3</v>
          </cell>
          <cell r="B34" t="str">
            <v>Clean building during structure</v>
          </cell>
          <cell r="F34">
            <v>321750</v>
          </cell>
          <cell r="H34">
            <v>123910.19417475729</v>
          </cell>
          <cell r="K34">
            <v>125972.35999999999</v>
          </cell>
          <cell r="Q34">
            <v>-2062.1658252427005</v>
          </cell>
        </row>
        <row r="35">
          <cell r="A35">
            <v>4</v>
          </cell>
          <cell r="B35" t="str">
            <v>Clean building during finishing</v>
          </cell>
          <cell r="F35">
            <v>306000</v>
          </cell>
          <cell r="H35">
            <v>117844.66019417476</v>
          </cell>
          <cell r="K35">
            <v>0</v>
          </cell>
          <cell r="Q35" t="str">
            <v>-</v>
          </cell>
        </row>
        <row r="36">
          <cell r="A36">
            <v>5</v>
          </cell>
          <cell r="B36" t="str">
            <v>Cleaning after finishing</v>
          </cell>
          <cell r="F36">
            <v>156000</v>
          </cell>
          <cell r="H36">
            <v>60077.669902912618</v>
          </cell>
          <cell r="K36" t="str">
            <v>-</v>
          </cell>
          <cell r="Q36" t="str">
            <v>-</v>
          </cell>
        </row>
        <row r="37">
          <cell r="A37">
            <v>6</v>
          </cell>
          <cell r="B37" t="str">
            <v>Lab Expenses</v>
          </cell>
          <cell r="F37">
            <v>61700</v>
          </cell>
          <cell r="H37">
            <v>23761.48867313916</v>
          </cell>
          <cell r="K37">
            <v>18119.77</v>
          </cell>
          <cell r="Q37">
            <v>5641.7186731391594</v>
          </cell>
        </row>
        <row r="38">
          <cell r="A38">
            <v>7</v>
          </cell>
          <cell r="B38" t="str">
            <v xml:space="preserve">Plant &amp; Machinery                          </v>
          </cell>
          <cell r="F38">
            <v>2136690.4679999999</v>
          </cell>
          <cell r="H38">
            <v>822867.85013592232</v>
          </cell>
          <cell r="K38">
            <v>869286.43908000016</v>
          </cell>
          <cell r="Q38">
            <v>-46418.588944077841</v>
          </cell>
        </row>
        <row r="39">
          <cell r="A39">
            <v>8</v>
          </cell>
          <cell r="B39" t="str">
            <v>Demobilisation</v>
          </cell>
          <cell r="F39">
            <v>100000</v>
          </cell>
          <cell r="H39">
            <v>38511.326860841422</v>
          </cell>
          <cell r="Q39" t="str">
            <v>-</v>
          </cell>
        </row>
        <row r="40">
          <cell r="A40">
            <v>9</v>
          </cell>
          <cell r="B40" t="str">
            <v>Debris Cleaning</v>
          </cell>
          <cell r="F40">
            <v>94500</v>
          </cell>
          <cell r="H40">
            <v>36393.203883495145</v>
          </cell>
          <cell r="K40">
            <v>10700</v>
          </cell>
          <cell r="Q40">
            <v>25693.203883495145</v>
          </cell>
        </row>
        <row r="41">
          <cell r="A41">
            <v>10</v>
          </cell>
          <cell r="B41" t="str">
            <v>Curing during structure</v>
          </cell>
          <cell r="F41">
            <v>91800</v>
          </cell>
          <cell r="H41">
            <v>35353.398058252431</v>
          </cell>
          <cell r="K41">
            <v>70944.5</v>
          </cell>
          <cell r="Q41">
            <v>-35591.101941747569</v>
          </cell>
        </row>
        <row r="42">
          <cell r="A42">
            <v>11</v>
          </cell>
          <cell r="B42" t="str">
            <v>Curing during finishing</v>
          </cell>
          <cell r="F42">
            <v>285600</v>
          </cell>
          <cell r="H42">
            <v>109988.3495145631</v>
          </cell>
          <cell r="K42">
            <v>0</v>
          </cell>
          <cell r="Q42" t="str">
            <v>-</v>
          </cell>
          <cell r="X42" t="str">
            <v>Start Calculation from the Finishing Dates</v>
          </cell>
        </row>
        <row r="43">
          <cell r="A43">
            <v>12</v>
          </cell>
          <cell r="B43" t="str">
            <v>Curing after structure</v>
          </cell>
          <cell r="F43">
            <v>206550</v>
          </cell>
          <cell r="H43">
            <v>79545.14563106795</v>
          </cell>
          <cell r="K43" t="str">
            <v>-</v>
          </cell>
          <cell r="Q43" t="str">
            <v>-</v>
          </cell>
        </row>
        <row r="44">
          <cell r="A44">
            <v>13</v>
          </cell>
          <cell r="B44" t="str">
            <v>C-Class &amp; Tools</v>
          </cell>
          <cell r="F44">
            <v>2745518</v>
          </cell>
          <cell r="H44">
            <v>1057335.4110032362</v>
          </cell>
          <cell r="K44">
            <v>2706803.55</v>
          </cell>
          <cell r="Q44">
            <v>-1649468.1389967636</v>
          </cell>
        </row>
        <row r="45">
          <cell r="B45" t="str">
            <v>TOTAL</v>
          </cell>
          <cell r="F45">
            <v>6928208.4680000003</v>
          </cell>
          <cell r="H45">
            <v>7315944.7866648259</v>
          </cell>
          <cell r="K45">
            <v>8994557.7319129389</v>
          </cell>
          <cell r="Q45">
            <v>-1718407.7791382524</v>
          </cell>
        </row>
        <row r="46">
          <cell r="B46" t="str">
            <v xml:space="preserve">COST PER SFT </v>
          </cell>
          <cell r="F46">
            <v>20.184870333299635</v>
          </cell>
          <cell r="H46">
            <v>21.314514071923991</v>
          </cell>
          <cell r="K46">
            <v>26.205040215317077</v>
          </cell>
          <cell r="Q46">
            <v>-5.0064657208058794</v>
          </cell>
        </row>
        <row r="49">
          <cell r="B49" t="str">
            <v xml:space="preserve">COST PER SFT </v>
          </cell>
          <cell r="F49">
            <v>54.784180927677816</v>
          </cell>
          <cell r="H49">
            <v>36.662032754460817</v>
          </cell>
          <cell r="I49">
            <v>0</v>
          </cell>
          <cell r="J49">
            <v>0</v>
          </cell>
          <cell r="K49">
            <v>40.812911367484432</v>
          </cell>
          <cell r="Q49">
            <v>-4.266818190436406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refreshError="1"/>
      <sheetData sheetId="162" refreshError="1"/>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sheetData sheetId="334"/>
      <sheetData sheetId="335"/>
      <sheetData sheetId="336"/>
      <sheetData sheetId="337"/>
      <sheetData sheetId="338"/>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sheetData sheetId="446"/>
      <sheetData sheetId="447"/>
      <sheetData sheetId="448"/>
      <sheetData sheetId="449"/>
      <sheetData sheetId="450"/>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3.06.2013(che)"/>
      <sheetName val="13.09.12 (Che)"/>
      <sheetName val="13.9.12 (Outstation)"/>
      <sheetName val="20.9.12 (Chennai)"/>
      <sheetName val="20.9.12 (Out Station) "/>
      <sheetName val="27.9.12(Chennai)"/>
      <sheetName val="27.9.12(Out Station)"/>
      <sheetName val="04.10.12(Chennai)"/>
      <sheetName val="11.10.12(Chennai)"/>
      <sheetName val="18.10.12(Che)"/>
      <sheetName val="18.10.12(Out Station)_"/>
      <sheetName val="25.10.12(Che)"/>
      <sheetName val="1.11.12 (Che)"/>
      <sheetName val="1.11.12 (Out Station)"/>
      <sheetName val="8.11.12 (Che)"/>
      <sheetName val="8.11.12 (Out Station)"/>
      <sheetName val="22.11.12 (Che)"/>
      <sheetName val="29.11.12 (Out)"/>
      <sheetName val="29.11.12 (Che)"/>
      <sheetName val="06.12.12 (Out)"/>
      <sheetName val="06.12.12 (Che)"/>
      <sheetName val="13.12.12 (Che)"/>
      <sheetName val="13.12.12 (Out)"/>
      <sheetName val="20.12.12 (Che)"/>
      <sheetName val="20.12.12 (Out)"/>
      <sheetName val="27.12.12 (Che)"/>
      <sheetName val="27.12.12 (Out)"/>
      <sheetName val="Actual vs budget"/>
      <sheetName val="03.01.13 (Che)"/>
      <sheetName val="03.01.13 (Out)"/>
      <sheetName val="10.1.13 (Che)"/>
      <sheetName val="10.1.13 (Out)"/>
      <sheetName val="17.1.13 (Che)"/>
      <sheetName val="17.1.13 (Out)"/>
      <sheetName val="24.01.13 (Che)"/>
      <sheetName val="24.01.13 (Out)"/>
      <sheetName val="31-1-2013(Che)"/>
      <sheetName val="07-02-2013(che)"/>
      <sheetName val="07-02-2013(out)"/>
      <sheetName val="13-2-2013(out)"/>
      <sheetName val="14-2-2013(Che)"/>
      <sheetName val="21-2-2013(che)"/>
      <sheetName val="28-02-2013(Che)"/>
      <sheetName val="28-2-2013(out)"/>
      <sheetName val="07-03-2013(out)"/>
      <sheetName val="07-03-2013(Che)"/>
      <sheetName val="14-03-2013(Che)"/>
      <sheetName val="21-03-2013(Che) "/>
      <sheetName val="28-03-2013(Che)"/>
      <sheetName val="04-04-2013(Che)"/>
      <sheetName val="18-04-2013(Che) "/>
      <sheetName val="18-04-2013(Out) "/>
      <sheetName val="25.04.2013(out)"/>
      <sheetName val="25-04-2013(Che) "/>
      <sheetName val="02-05-2013(Out) "/>
      <sheetName val="02-05-2013(Che) "/>
      <sheetName val="08.05.2013(che)"/>
      <sheetName val="08.05.2013(out)"/>
      <sheetName val="16.05.2013(che)"/>
      <sheetName val="16.05.2013(out)"/>
      <sheetName val="23.05.2013(out)"/>
      <sheetName val="23.05.2013(che)"/>
      <sheetName val="30.05.2013(out)"/>
      <sheetName val="30.05.2013(che)"/>
      <sheetName val="06.06.2013(che)"/>
      <sheetName val=" 06.06.2013(out)"/>
      <sheetName val=" 13.06.2013(out)"/>
      <sheetName val="13.6.2013(che)"/>
      <sheetName val=" 20.06.2013(out)"/>
      <sheetName val="20.06.2013(che)"/>
      <sheetName val="27.06.2013(out)"/>
      <sheetName val="27.06.13(Che)"/>
      <sheetName val="04.07.2013(out)"/>
      <sheetName val="04.07.13(Che)"/>
      <sheetName val="11.07.2013(out)"/>
      <sheetName val="11.07.13(Che)"/>
      <sheetName val="18.07.13(Che)"/>
      <sheetName val="18.07.13(Out)"/>
      <sheetName val="25.07.13(Che)"/>
      <sheetName val="25.07.13(Out)"/>
      <sheetName val="01.08.13(Che)"/>
      <sheetName val="s"/>
      <sheetName val="01.08.13 (out)"/>
      <sheetName val="08.08.13(Che)"/>
      <sheetName val="08.08.13(Out)"/>
      <sheetName val="15.08.13(Che)"/>
      <sheetName val="15.08.13(Out)"/>
      <sheetName val="22.08.13(Che)"/>
      <sheetName val="22.08.2013(out)"/>
      <sheetName val="Sheet4"/>
      <sheetName val="Signatory"/>
      <sheetName val="29.08.13(Out)"/>
      <sheetName val="29.08.13 (Che)"/>
      <sheetName val="05.09.13(Out)"/>
      <sheetName val="05.09.13(Che)"/>
      <sheetName val="12.09.13(Che)"/>
      <sheetName val="12.09.13(Out)"/>
      <sheetName val="19.09.13(Out)"/>
      <sheetName val="19.09.13(Che)"/>
      <sheetName val="26.09(Che)"/>
      <sheetName val="26.09(Out)"/>
      <sheetName val="02.10(Che)"/>
      <sheetName val="10.10(Out)"/>
      <sheetName val="10.10(Che)"/>
      <sheetName val="17.10(Out)"/>
      <sheetName val="17.10(Che)"/>
      <sheetName val="28.10.2013(out)."/>
      <sheetName val=" 28.10.2013(che)"/>
      <sheetName val="13.11.2013(out)"/>
      <sheetName val=" 13.11.13 (Che)"/>
      <sheetName val="28.11.13(Out)"/>
      <sheetName val=" 28.11.13 (Che)"/>
      <sheetName val="05.12.13(Out)"/>
      <sheetName val="05.12.13 (Che)"/>
      <sheetName val="11.12.13 (Che)"/>
      <sheetName val="11.12.13(Out)"/>
      <sheetName val=" 19.12.13 (out)"/>
      <sheetName val=" 19.12.13 (Che)"/>
      <sheetName val=" 26.12.13 (che)"/>
      <sheetName val=" 26.12.13 (out)"/>
      <sheetName val="02.01.14 (che)"/>
      <sheetName val="02.01.14(out)"/>
      <sheetName val="09.01.14 (che)"/>
      <sheetName val="09.01.14(out)"/>
      <sheetName val=" 23.01.14 (out)"/>
      <sheetName val=" 23.01.14 ( Che)"/>
      <sheetName val="6.2.2014 (che)"/>
      <sheetName val="06.02.14 (out)"/>
      <sheetName val="14.2.2014 (che)"/>
      <sheetName val="20.02.14 (out)"/>
      <sheetName val="20.02.14(che)"/>
      <sheetName val="27.02.14(che)"/>
      <sheetName val="06.03.14(che)"/>
      <sheetName val="06.03.14(Out)"/>
      <sheetName val="13.03.14(che)"/>
      <sheetName val="20.3.2014(Out)"/>
      <sheetName val="20.3.2014(che)"/>
      <sheetName val="28.03.14(che)"/>
      <sheetName val="03.04.2014(Out)"/>
      <sheetName val="03.04.2014(Che)"/>
      <sheetName val="10.04.2014(Che)"/>
      <sheetName val="10.04.2014(Out)"/>
      <sheetName val="17.04.2014(Out)"/>
      <sheetName val="17.04.2014(Che)"/>
      <sheetName val="25.04.2014 (Che)"/>
      <sheetName val="29.04.2014 (Che)"/>
      <sheetName val="29.04.2014(Out)"/>
      <sheetName val="Sheet1"/>
      <sheetName val="8.5.14(Che)"/>
      <sheetName val="9.5.14(Out)"/>
      <sheetName val=" 15.5.2014(che)"/>
      <sheetName val=" 15.5.2014(Out)"/>
      <sheetName val=" 23.5.2014(che)"/>
      <sheetName val=" 23.5.2014(Out)"/>
      <sheetName val=" 28.5.2014(che)"/>
      <sheetName val=" 29.5.2014(Out)"/>
      <sheetName val="6.3.2014"/>
      <sheetName val="Sheet2"/>
      <sheetName val="Sheet3"/>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ow r="19">
          <cell r="G19">
            <v>147090</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1"/>
      <sheetName val="Masonary"/>
      <sheetName val="Details R1"/>
      <sheetName val="Budget R0 comp"/>
      <sheetName val="WO"/>
      <sheetName val="Budget Compa"/>
      <sheetName val="Material Abs"/>
      <sheetName val="BW Abs"/>
      <sheetName val="Stilt Floor - BW"/>
      <sheetName val="1st Floor - BW "/>
      <sheetName val="Typical 2,3,4,5 - BW"/>
      <sheetName val="Terrace - BW"/>
      <sheetName val="Chips packing"/>
      <sheetName val="Concrete"/>
      <sheetName val="Lintel Steel"/>
      <sheetName val="Loft"/>
      <sheetName val="Lock Set"/>
    </sheetNames>
    <sheetDataSet>
      <sheetData sheetId="0" refreshError="1"/>
      <sheetData sheetId="1" refreshError="1"/>
      <sheetData sheetId="2" refreshError="1"/>
      <sheetData sheetId="3" refreshError="1"/>
      <sheetData sheetId="4"/>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4"/>
      <sheetName val="Abstract R4"/>
      <sheetName val="Staircase slab rev4"/>
      <sheetName val="Column - GRF to 3rd floor r4"/>
      <sheetName val="site Measurements"/>
      <sheetName val="Budget R3"/>
      <sheetName val="Abstract R3"/>
      <sheetName val="Basement Floor - Beam"/>
      <sheetName val="Basement floor - Slab "/>
      <sheetName val="Staircase slab rev1"/>
      <sheetName val="Ground  Floor - Beam"/>
      <sheetName val="Ground floor - Slab"/>
      <sheetName val="Column - GRF to 3rd floor rev1"/>
      <sheetName val="Typical floor - Beam"/>
      <sheetName val="Typical floor - Slab"/>
      <sheetName val="Budget R2"/>
      <sheetName val="Abstract Sheat"/>
      <sheetName val="Excavation.26.9.24"/>
      <sheetName val="Excavation and Filling R2"/>
      <sheetName val="Budget R1"/>
      <sheetName val="Excavation and Filling R1"/>
      <sheetName val="Budget"/>
      <sheetName val="kumar vs Skyline"/>
      <sheetName val="kumar New vs Old"/>
      <sheetName val="Plinth area"/>
      <sheetName val="Abstract R0"/>
      <sheetName val="Contour Level"/>
      <sheetName val="Water Proofing"/>
      <sheetName val="Excavation and Filling"/>
      <sheetName val="Footing "/>
      <sheetName val="Footing - Rev"/>
      <sheetName val="Tie beam - 1"/>
      <sheetName val="Column - PCC to Ground Floo LVl"/>
      <sheetName val="Lift Wall New"/>
      <sheetName val="Lift Wall"/>
      <sheetName val="Ret Wall - PCC - Drive Way"/>
      <sheetName val="Tie beam - 2"/>
      <sheetName val="Grade Slab"/>
      <sheetName val="Sheet1"/>
      <sheetName val="Sheet3"/>
      <sheetName val="Sheet2"/>
      <sheetName val="Foundation in det"/>
      <sheetName val="Column - PCC to Basement floor"/>
      <sheetName val="Column - Basement to GF"/>
      <sheetName val="Lift - PCC to Basement floor"/>
      <sheetName val="Lift - Basement to GF"/>
      <sheetName val="Comparision Foundation"/>
      <sheetName val="Comparision structure"/>
      <sheetName val="Column - PCC to Ground Floo  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45">
          <cell r="BE45">
            <v>6679728.7661633426</v>
          </cell>
        </row>
      </sheetData>
      <sheetData sheetId="47"/>
      <sheetData sheetId="4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4"/>
      <sheetName val="Measurements"/>
      <sheetName val="Abstract R4"/>
      <sheetName val="Staircase slab rev4"/>
      <sheetName val="Column - GRF to 3rd floor r4"/>
      <sheetName val="site Measurements"/>
      <sheetName val="Column - PCC to Ground Floo  Re"/>
      <sheetName val="Budget R3"/>
      <sheetName val="Abstract R3"/>
      <sheetName val="Basement Floor - Beam"/>
      <sheetName val="Basement floor - Slab "/>
      <sheetName val="Staircase slab rev1"/>
      <sheetName val="Ground  Floor - Beam"/>
      <sheetName val="Ground floor - Slab"/>
      <sheetName val="Column - GRF to 3rd floor rev1"/>
      <sheetName val="Typical floor - Beam"/>
      <sheetName val="Typical floor - Slab"/>
      <sheetName val="Budget R2"/>
      <sheetName val="Abstract Sheat"/>
      <sheetName val="Excavation.26.9.24"/>
      <sheetName val="Excavation and Filling R2"/>
      <sheetName val="Budget R1"/>
      <sheetName val="Excavation and Filling R1"/>
      <sheetName val="Budget"/>
      <sheetName val="kumar vs Skyline"/>
      <sheetName val="kumar New vs Old"/>
      <sheetName val="Plinth area"/>
      <sheetName val="Abstract R0"/>
      <sheetName val="Contour Level"/>
      <sheetName val="Water Proofing"/>
      <sheetName val="Excavation and Filling"/>
      <sheetName val="Footing "/>
      <sheetName val="Footing - Rev"/>
      <sheetName val="Tie beam - 1"/>
      <sheetName val="Column - PCC to Ground Floo LVl"/>
      <sheetName val="Lift Wall New"/>
      <sheetName val="Lift Wall"/>
      <sheetName val="Ret Wall - PCC - Drive Way"/>
      <sheetName val="Tie beam - 2"/>
      <sheetName val="Grade Slab"/>
      <sheetName val="Sheet1"/>
      <sheetName val="Sheet3"/>
      <sheetName val="Sheet2"/>
      <sheetName val="Foundation in det"/>
      <sheetName val="Column - PCC to Basement floor"/>
      <sheetName val="Column - Basement to GF"/>
      <sheetName val="Lift - PCC to Basement floor"/>
      <sheetName val="Lift - Basement to GF"/>
      <sheetName val="Comparision Foundation"/>
      <sheetName val="Comparision structure"/>
      <sheetName val="Slab Labou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204313.52805259923</v>
          </cell>
        </row>
        <row r="5">
          <cell r="G5">
            <v>163978</v>
          </cell>
        </row>
        <row r="17">
          <cell r="E17">
            <v>79650</v>
          </cell>
        </row>
        <row r="18">
          <cell r="E18">
            <v>168936</v>
          </cell>
        </row>
        <row r="19">
          <cell r="E19">
            <v>24941</v>
          </cell>
        </row>
        <row r="20">
          <cell r="E20">
            <v>71291</v>
          </cell>
        </row>
        <row r="21">
          <cell r="E21">
            <v>98592</v>
          </cell>
        </row>
        <row r="22">
          <cell r="E22">
            <v>206520</v>
          </cell>
        </row>
        <row r="23">
          <cell r="E23">
            <v>5244</v>
          </cell>
        </row>
      </sheetData>
      <sheetData sheetId="8"/>
      <sheetData sheetId="9">
        <row r="1351">
          <cell r="I1351">
            <v>7860</v>
          </cell>
          <cell r="J1351">
            <v>21638.525550549995</v>
          </cell>
          <cell r="T1351">
            <v>5499.5199999999986</v>
          </cell>
          <cell r="U1351">
            <v>7195.3827160493875</v>
          </cell>
          <cell r="V1351">
            <v>3769.6533333333346</v>
          </cell>
          <cell r="W1351">
            <v>12530.063802469143</v>
          </cell>
          <cell r="X1351">
            <v>10026.106172839503</v>
          </cell>
          <cell r="Y1351">
            <v>44034.618055555518</v>
          </cell>
          <cell r="Z1351">
            <v>694.42370370370361</v>
          </cell>
        </row>
      </sheetData>
      <sheetData sheetId="10">
        <row r="713">
          <cell r="H713">
            <v>19216.441476232874</v>
          </cell>
          <cell r="S713">
            <v>39047.765548193987</v>
          </cell>
        </row>
        <row r="714">
          <cell r="P714">
            <v>5435.7807407407363</v>
          </cell>
          <cell r="Q714">
            <v>27533.707407407423</v>
          </cell>
          <cell r="R714">
            <v>1305.2371111111111</v>
          </cell>
        </row>
      </sheetData>
      <sheetData sheetId="11">
        <row r="29">
          <cell r="G29">
            <v>119.55629358662499</v>
          </cell>
        </row>
        <row r="31">
          <cell r="N31">
            <v>45.185185185185183</v>
          </cell>
          <cell r="O31">
            <v>296.46296296296293</v>
          </cell>
          <cell r="P31">
            <v>0</v>
          </cell>
          <cell r="R31">
            <v>266.46082866</v>
          </cell>
        </row>
        <row r="60">
          <cell r="G60">
            <v>115.79115660962499</v>
          </cell>
        </row>
        <row r="62">
          <cell r="N62">
            <v>47.595061728395052</v>
          </cell>
          <cell r="O62">
            <v>311.52777777777771</v>
          </cell>
          <cell r="P62">
            <v>0</v>
          </cell>
          <cell r="R62">
            <v>249.10210259999999</v>
          </cell>
        </row>
        <row r="94">
          <cell r="G94">
            <v>101.4107482325</v>
          </cell>
        </row>
        <row r="96">
          <cell r="N96">
            <v>34.9432098765432</v>
          </cell>
          <cell r="O96">
            <v>254.50925925925921</v>
          </cell>
          <cell r="P96">
            <v>0</v>
          </cell>
          <cell r="R96">
            <v>238.22631845999996</v>
          </cell>
        </row>
        <row r="125">
          <cell r="G125">
            <v>94.950796001249984</v>
          </cell>
        </row>
        <row r="127">
          <cell r="N127">
            <v>64.391111111111115</v>
          </cell>
          <cell r="O127">
            <v>249.39506172839506</v>
          </cell>
          <cell r="P127">
            <v>0</v>
          </cell>
          <cell r="R127">
            <v>231.55323047999994</v>
          </cell>
        </row>
        <row r="160">
          <cell r="G160">
            <v>101.4107482325</v>
          </cell>
        </row>
        <row r="162">
          <cell r="N162">
            <v>34.9432098765432</v>
          </cell>
          <cell r="O162">
            <v>254.50925925925921</v>
          </cell>
          <cell r="P162">
            <v>0</v>
          </cell>
          <cell r="R162">
            <v>238.22631845999996</v>
          </cell>
        </row>
        <row r="191">
          <cell r="G191">
            <v>94.950796001249984</v>
          </cell>
        </row>
        <row r="193">
          <cell r="N193">
            <v>64.391111111111115</v>
          </cell>
          <cell r="O193">
            <v>249.39506172839506</v>
          </cell>
          <cell r="P193">
            <v>0</v>
          </cell>
          <cell r="R193">
            <v>231.55323047999994</v>
          </cell>
        </row>
      </sheetData>
      <sheetData sheetId="12">
        <row r="1443">
          <cell r="I1443">
            <v>8191</v>
          </cell>
          <cell r="J1443">
            <v>22740.78260694</v>
          </cell>
          <cell r="T1443">
            <v>5614.1906172839481</v>
          </cell>
          <cell r="U1443">
            <v>7702.938271604944</v>
          </cell>
          <cell r="V1443">
            <v>2931.9022222222216</v>
          </cell>
          <cell r="W1443">
            <v>12937.693234567903</v>
          </cell>
          <cell r="X1443">
            <v>12591.696296296303</v>
          </cell>
          <cell r="Y1443">
            <v>46750.073302469114</v>
          </cell>
          <cell r="Z1443">
            <v>1096.0592592592591</v>
          </cell>
        </row>
      </sheetData>
      <sheetData sheetId="13">
        <row r="618">
          <cell r="H618">
            <v>16324.081186460246</v>
          </cell>
          <cell r="S618">
            <v>33170.495991515993</v>
          </cell>
        </row>
        <row r="619">
          <cell r="P619">
            <v>4475.5049876543189</v>
          </cell>
          <cell r="Q619">
            <v>23660.86851851852</v>
          </cell>
          <cell r="R619">
            <v>1854.9704444444444</v>
          </cell>
        </row>
      </sheetData>
      <sheetData sheetId="14">
        <row r="75">
          <cell r="Q75">
            <v>5155.0874534397453</v>
          </cell>
          <cell r="R75">
            <v>0</v>
          </cell>
          <cell r="S75">
            <v>0</v>
          </cell>
          <cell r="T75">
            <v>887.80419700407515</v>
          </cell>
          <cell r="U75">
            <v>9077.4191849067392</v>
          </cell>
          <cell r="V75">
            <v>15922.641725083817</v>
          </cell>
          <cell r="W75">
            <v>0</v>
          </cell>
        </row>
        <row r="76">
          <cell r="I76">
            <v>4164.062644775222</v>
          </cell>
          <cell r="J76">
            <v>7937.802322804022</v>
          </cell>
        </row>
      </sheetData>
      <sheetData sheetId="15">
        <row r="1443">
          <cell r="I1443">
            <v>8191</v>
          </cell>
          <cell r="J1443">
            <v>22742.895669809997</v>
          </cell>
          <cell r="T1443">
            <v>5614.1906172839481</v>
          </cell>
          <cell r="U1443">
            <v>7702.938271604944</v>
          </cell>
          <cell r="V1443">
            <v>2931.9022222222216</v>
          </cell>
          <cell r="W1443">
            <v>12937.693234567903</v>
          </cell>
          <cell r="X1443">
            <v>12591.696296296303</v>
          </cell>
          <cell r="Y1443">
            <v>46750.073302469114</v>
          </cell>
          <cell r="Z1443">
            <v>1096.0592592592591</v>
          </cell>
        </row>
      </sheetData>
      <sheetData sheetId="16">
        <row r="618">
          <cell r="H618">
            <v>16324.081186460246</v>
          </cell>
          <cell r="S618">
            <v>33170.495991515993</v>
          </cell>
        </row>
        <row r="619">
          <cell r="P619">
            <v>4475.5049876543189</v>
          </cell>
          <cell r="Q619">
            <v>23660.86851851852</v>
          </cell>
          <cell r="R619">
            <v>1854.9704444444444</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50">
          <cell r="R150">
            <v>4016.0273539297555</v>
          </cell>
          <cell r="T150">
            <v>6119.2816626068279</v>
          </cell>
        </row>
        <row r="153">
          <cell r="G153">
            <v>1350.3780307136403</v>
          </cell>
        </row>
        <row r="154">
          <cell r="G154">
            <v>0</v>
          </cell>
        </row>
        <row r="155">
          <cell r="G155">
            <v>379.4559999999999</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P83"/>
  <sheetViews>
    <sheetView showGridLines="0" tabSelected="1" topLeftCell="A25" zoomScale="90" zoomScaleNormal="90" workbookViewId="0">
      <selection activeCell="N16" sqref="N16"/>
    </sheetView>
  </sheetViews>
  <sheetFormatPr defaultColWidth="9.109375" defaultRowHeight="19.5" customHeight="1" x14ac:dyDescent="0.3"/>
  <cols>
    <col min="1" max="1" width="0.44140625" style="265" customWidth="1"/>
    <col min="2" max="2" width="5.109375" style="265" customWidth="1"/>
    <col min="3" max="3" width="35.6640625" style="265" customWidth="1"/>
    <col min="4" max="4" width="8.88671875" style="272" customWidth="1"/>
    <col min="5" max="5" width="12.33203125" style="272" bestFit="1" customWidth="1"/>
    <col min="6" max="6" width="10.6640625" style="287" bestFit="1" customWidth="1"/>
    <col min="7" max="7" width="16.44140625" style="287" customWidth="1"/>
    <col min="8" max="8" width="12" style="287" customWidth="1"/>
    <col min="9" max="9" width="8.88671875" style="287" customWidth="1"/>
    <col min="10" max="10" width="20.44140625" style="295" bestFit="1" customWidth="1"/>
    <col min="11" max="11" width="12.44140625" style="703" bestFit="1" customWidth="1"/>
    <col min="12" max="12" width="17.44140625" style="703" bestFit="1" customWidth="1"/>
    <col min="13" max="13" width="12.44140625" style="265" bestFit="1" customWidth="1"/>
    <col min="14" max="14" width="12.6640625" style="265" bestFit="1" customWidth="1"/>
    <col min="15" max="15" width="9.109375" style="265"/>
    <col min="16" max="16" width="13.44140625" style="265" bestFit="1" customWidth="1"/>
    <col min="17" max="16384" width="9.109375" style="265"/>
  </cols>
  <sheetData>
    <row r="1" spans="2:13" ht="3" customHeight="1" x14ac:dyDescent="0.3">
      <c r="B1" s="718"/>
      <c r="C1" s="718"/>
      <c r="D1" s="718"/>
      <c r="E1" s="718"/>
      <c r="F1" s="718"/>
      <c r="G1" s="718"/>
      <c r="H1" s="718"/>
      <c r="I1" s="718"/>
      <c r="J1" s="718"/>
    </row>
    <row r="2" spans="2:13" ht="20.100000000000001" customHeight="1" x14ac:dyDescent="0.3">
      <c r="B2" s="719" t="s">
        <v>488</v>
      </c>
      <c r="C2" s="720"/>
      <c r="D2" s="720"/>
      <c r="E2" s="720"/>
      <c r="F2" s="720"/>
      <c r="G2" s="720"/>
      <c r="H2" s="720"/>
      <c r="I2" s="720"/>
      <c r="J2" s="721"/>
    </row>
    <row r="3" spans="2:13" ht="20.100000000000001" customHeight="1" x14ac:dyDescent="0.3">
      <c r="B3" s="722" t="s">
        <v>489</v>
      </c>
      <c r="C3" s="707"/>
      <c r="D3" s="723" t="s">
        <v>159</v>
      </c>
      <c r="E3" s="724"/>
      <c r="F3" s="724"/>
      <c r="G3" s="724"/>
      <c r="H3" s="724"/>
      <c r="I3" s="725"/>
      <c r="J3" s="308" t="s">
        <v>160</v>
      </c>
    </row>
    <row r="4" spans="2:13" ht="20.100000000000001" customHeight="1" x14ac:dyDescent="0.3">
      <c r="B4" s="707" t="s">
        <v>197</v>
      </c>
      <c r="C4" s="707"/>
      <c r="D4" s="708" t="s">
        <v>161</v>
      </c>
      <c r="E4" s="709"/>
      <c r="F4" s="710"/>
      <c r="G4" s="268">
        <f>+'Plinth area'!L13</f>
        <v>204317</v>
      </c>
      <c r="H4" s="269" t="s">
        <v>103</v>
      </c>
      <c r="I4" s="266"/>
      <c r="J4" s="282" t="s">
        <v>552</v>
      </c>
    </row>
    <row r="5" spans="2:13" ht="20.100000000000001" customHeight="1" x14ac:dyDescent="0.3">
      <c r="B5" s="707" t="s">
        <v>553</v>
      </c>
      <c r="C5" s="707"/>
      <c r="D5" s="708" t="s">
        <v>162</v>
      </c>
      <c r="E5" s="709"/>
      <c r="F5" s="710"/>
      <c r="G5" s="268">
        <f>'Plinth area'!J15</f>
        <v>163978</v>
      </c>
      <c r="H5" s="269" t="s">
        <v>103</v>
      </c>
      <c r="I5" s="266"/>
      <c r="J5" s="282" t="s">
        <v>163</v>
      </c>
    </row>
    <row r="6" spans="2:13" s="272" customFormat="1" ht="34.5" customHeight="1" x14ac:dyDescent="0.3">
      <c r="B6" s="270" t="s">
        <v>39</v>
      </c>
      <c r="C6" s="270" t="s">
        <v>1</v>
      </c>
      <c r="D6" s="270" t="s">
        <v>50</v>
      </c>
      <c r="E6" s="270" t="s">
        <v>23</v>
      </c>
      <c r="F6" s="271" t="s">
        <v>164</v>
      </c>
      <c r="G6" s="271" t="s">
        <v>165</v>
      </c>
      <c r="H6" s="271" t="s">
        <v>166</v>
      </c>
      <c r="I6" s="271" t="s">
        <v>167</v>
      </c>
      <c r="J6" s="293" t="s">
        <v>11</v>
      </c>
      <c r="K6" s="704"/>
      <c r="L6" s="704"/>
    </row>
    <row r="7" spans="2:13" ht="23.1" customHeight="1" x14ac:dyDescent="0.3">
      <c r="B7" s="273" t="s">
        <v>168</v>
      </c>
      <c r="C7" s="274" t="s">
        <v>169</v>
      </c>
      <c r="D7" s="275"/>
      <c r="E7" s="275"/>
      <c r="F7" s="276"/>
      <c r="G7" s="276"/>
      <c r="H7" s="276"/>
      <c r="I7" s="276"/>
      <c r="J7" s="294"/>
    </row>
    <row r="8" spans="2:13" ht="20.100000000000001" customHeight="1" x14ac:dyDescent="0.3">
      <c r="B8" s="277">
        <v>1</v>
      </c>
      <c r="C8" s="278" t="s">
        <v>51</v>
      </c>
      <c r="D8" s="279" t="s">
        <v>170</v>
      </c>
      <c r="E8" s="280">
        <f>+'Material Abs'!F22</f>
        <v>490</v>
      </c>
      <c r="F8" s="280">
        <v>285</v>
      </c>
      <c r="G8" s="281">
        <f t="shared" ref="G8:G20" si="0">+F8*E8</f>
        <v>139650</v>
      </c>
      <c r="H8" s="269">
        <f>+G8/G$5</f>
        <v>0.85163863445096288</v>
      </c>
      <c r="I8" s="269">
        <f t="shared" ref="I8:I20" si="1">+G8/G$4</f>
        <v>0.68349672322909993</v>
      </c>
      <c r="J8" s="282"/>
      <c r="K8" s="703">
        <v>490.5</v>
      </c>
      <c r="L8" s="703">
        <f>+E8-K8</f>
        <v>-0.5</v>
      </c>
    </row>
    <row r="9" spans="2:13" ht="20.100000000000001" customHeight="1" x14ac:dyDescent="0.3">
      <c r="B9" s="277">
        <f t="shared" ref="B9:B20" si="2">1+B8</f>
        <v>2</v>
      </c>
      <c r="C9" s="278" t="s">
        <v>172</v>
      </c>
      <c r="D9" s="279" t="s">
        <v>170</v>
      </c>
      <c r="E9" s="280">
        <f>+'Material Abs'!G22</f>
        <v>510</v>
      </c>
      <c r="F9" s="280">
        <v>285</v>
      </c>
      <c r="G9" s="281">
        <f t="shared" si="0"/>
        <v>145350</v>
      </c>
      <c r="H9" s="269">
        <f t="shared" ref="H9:H16" si="3">+G9/G$5</f>
        <v>0.88639939504079812</v>
      </c>
      <c r="I9" s="269">
        <f t="shared" si="1"/>
        <v>0.71139454866702234</v>
      </c>
      <c r="J9" s="282" t="s">
        <v>199</v>
      </c>
      <c r="K9" s="703">
        <v>510.4</v>
      </c>
      <c r="L9" s="706">
        <f t="shared" ref="L9:L25" si="4">+E9-K9</f>
        <v>-0.39999999999997726</v>
      </c>
      <c r="M9" s="265">
        <v>34</v>
      </c>
    </row>
    <row r="10" spans="2:13" ht="20.100000000000001" customHeight="1" x14ac:dyDescent="0.3">
      <c r="B10" s="277">
        <f t="shared" si="2"/>
        <v>3</v>
      </c>
      <c r="C10" s="278" t="s">
        <v>173</v>
      </c>
      <c r="D10" s="279" t="s">
        <v>65</v>
      </c>
      <c r="E10" s="280">
        <f>+'Material Abs'!H22</f>
        <v>1455</v>
      </c>
      <c r="F10" s="280">
        <v>54</v>
      </c>
      <c r="G10" s="281">
        <f t="shared" si="0"/>
        <v>78570</v>
      </c>
      <c r="H10" s="269">
        <f t="shared" si="3"/>
        <v>0.4791496420251497</v>
      </c>
      <c r="I10" s="269">
        <f t="shared" si="1"/>
        <v>0.38454949906273095</v>
      </c>
      <c r="J10" s="282" t="s">
        <v>199</v>
      </c>
      <c r="K10" s="703">
        <v>1455</v>
      </c>
      <c r="L10" s="706">
        <f t="shared" si="4"/>
        <v>0</v>
      </c>
    </row>
    <row r="11" spans="2:13" ht="20.100000000000001" customHeight="1" x14ac:dyDescent="0.3">
      <c r="B11" s="277">
        <f t="shared" si="2"/>
        <v>4</v>
      </c>
      <c r="C11" s="278" t="s">
        <v>53</v>
      </c>
      <c r="D11" s="279" t="s">
        <v>65</v>
      </c>
      <c r="E11" s="280">
        <f>+'Material Abs'!I22</f>
        <v>4412</v>
      </c>
      <c r="F11" s="280">
        <v>50</v>
      </c>
      <c r="G11" s="281">
        <f t="shared" si="0"/>
        <v>220600</v>
      </c>
      <c r="H11" s="269">
        <f t="shared" si="3"/>
        <v>1.3453024186171316</v>
      </c>
      <c r="I11" s="269">
        <f t="shared" si="1"/>
        <v>1.0796947880009984</v>
      </c>
      <c r="J11" s="282"/>
      <c r="K11" s="703">
        <v>4411</v>
      </c>
      <c r="L11" s="703">
        <f t="shared" si="4"/>
        <v>1</v>
      </c>
    </row>
    <row r="12" spans="2:13" ht="20.100000000000001" customHeight="1" x14ac:dyDescent="0.3">
      <c r="B12" s="277">
        <f t="shared" si="2"/>
        <v>5</v>
      </c>
      <c r="C12" s="278" t="s">
        <v>174</v>
      </c>
      <c r="D12" s="279" t="s">
        <v>65</v>
      </c>
      <c r="E12" s="280">
        <f>+'Material Abs'!K22</f>
        <v>1716</v>
      </c>
      <c r="F12" s="280">
        <v>42</v>
      </c>
      <c r="G12" s="281">
        <f t="shared" si="0"/>
        <v>72072</v>
      </c>
      <c r="H12" s="269">
        <f t="shared" si="3"/>
        <v>0.43952237495273755</v>
      </c>
      <c r="I12" s="269">
        <f t="shared" si="1"/>
        <v>0.35274597806349939</v>
      </c>
      <c r="J12" s="282" t="s">
        <v>175</v>
      </c>
      <c r="K12" s="703">
        <v>1715</v>
      </c>
      <c r="L12" s="706">
        <f t="shared" si="4"/>
        <v>1</v>
      </c>
      <c r="M12" s="267"/>
    </row>
    <row r="13" spans="2:13" ht="20.100000000000001" customHeight="1" x14ac:dyDescent="0.3">
      <c r="B13" s="277">
        <f t="shared" si="2"/>
        <v>6</v>
      </c>
      <c r="C13" s="278" t="s">
        <v>54</v>
      </c>
      <c r="D13" s="279" t="s">
        <v>65</v>
      </c>
      <c r="E13" s="280">
        <f>+'Material Abs'!J22</f>
        <v>106</v>
      </c>
      <c r="F13" s="280">
        <v>42</v>
      </c>
      <c r="G13" s="281">
        <f t="shared" si="0"/>
        <v>4452</v>
      </c>
      <c r="H13" s="269">
        <f>+G13/G$5</f>
        <v>2.7149983534376563E-2</v>
      </c>
      <c r="I13" s="269">
        <f t="shared" si="1"/>
        <v>2.1789669973619426E-2</v>
      </c>
      <c r="J13" s="282" t="s">
        <v>200</v>
      </c>
      <c r="K13" s="703">
        <v>106</v>
      </c>
      <c r="L13" s="706">
        <f t="shared" si="4"/>
        <v>0</v>
      </c>
    </row>
    <row r="14" spans="2:13" ht="20.100000000000001" customHeight="1" x14ac:dyDescent="0.3">
      <c r="B14" s="277">
        <f t="shared" si="2"/>
        <v>7</v>
      </c>
      <c r="C14" s="278" t="s">
        <v>56</v>
      </c>
      <c r="D14" s="279" t="s">
        <v>65</v>
      </c>
      <c r="E14" s="280">
        <f>+'Material Abs'!L22</f>
        <v>603</v>
      </c>
      <c r="F14" s="280">
        <v>36</v>
      </c>
      <c r="G14" s="281">
        <f t="shared" si="0"/>
        <v>21708</v>
      </c>
      <c r="H14" s="269">
        <f t="shared" si="3"/>
        <v>0.13238361243581456</v>
      </c>
      <c r="I14" s="269">
        <f t="shared" si="1"/>
        <v>0.10624666572042464</v>
      </c>
      <c r="J14" s="282" t="s">
        <v>201</v>
      </c>
      <c r="K14" s="703">
        <v>603</v>
      </c>
      <c r="L14" s="706">
        <f t="shared" si="4"/>
        <v>0</v>
      </c>
      <c r="M14" s="606">
        <f>136+L14</f>
        <v>136</v>
      </c>
    </row>
    <row r="15" spans="2:13" ht="20.100000000000001" customHeight="1" x14ac:dyDescent="0.3">
      <c r="B15" s="277">
        <f t="shared" si="2"/>
        <v>8</v>
      </c>
      <c r="C15" s="283" t="s">
        <v>176</v>
      </c>
      <c r="D15" s="279" t="s">
        <v>3</v>
      </c>
      <c r="E15" s="280">
        <f>+'Material Abs'!M4</f>
        <v>35889.905233066813</v>
      </c>
      <c r="F15" s="307">
        <v>96</v>
      </c>
      <c r="G15" s="281">
        <f t="shared" si="0"/>
        <v>3445430.9023744138</v>
      </c>
      <c r="H15" s="269">
        <f t="shared" si="3"/>
        <v>21.011543636185426</v>
      </c>
      <c r="I15" s="269">
        <f t="shared" si="1"/>
        <v>16.863163135590352</v>
      </c>
      <c r="J15" s="282"/>
      <c r="K15" s="703">
        <v>35889</v>
      </c>
      <c r="L15" s="703">
        <f t="shared" si="4"/>
        <v>0.90523306681279792</v>
      </c>
      <c r="M15" s="267"/>
    </row>
    <row r="16" spans="2:13" ht="20.100000000000001" customHeight="1" x14ac:dyDescent="0.3">
      <c r="B16" s="277">
        <f t="shared" si="2"/>
        <v>9</v>
      </c>
      <c r="C16" s="283" t="s">
        <v>177</v>
      </c>
      <c r="D16" s="279" t="s">
        <v>3</v>
      </c>
      <c r="E16" s="280">
        <f>+'Material Abs'!N5</f>
        <v>1393.3963255930219</v>
      </c>
      <c r="F16" s="307">
        <v>49</v>
      </c>
      <c r="G16" s="281">
        <f t="shared" si="0"/>
        <v>68276.419954058074</v>
      </c>
      <c r="H16" s="269">
        <f t="shared" si="3"/>
        <v>0.41637548911474753</v>
      </c>
      <c r="I16" s="269">
        <f t="shared" si="1"/>
        <v>0.33416906059729767</v>
      </c>
      <c r="J16" s="282"/>
      <c r="K16" s="703">
        <v>1393.4</v>
      </c>
      <c r="L16" s="703">
        <f t="shared" si="4"/>
        <v>-3.6744069782344013E-3</v>
      </c>
    </row>
    <row r="17" spans="2:16" ht="20.100000000000001" customHeight="1" x14ac:dyDescent="0.3">
      <c r="B17" s="277">
        <f t="shared" si="2"/>
        <v>10</v>
      </c>
      <c r="C17" s="283" t="s">
        <v>326</v>
      </c>
      <c r="D17" s="279" t="s">
        <v>3</v>
      </c>
      <c r="E17" s="280">
        <f>+'Material Abs'!M6</f>
        <v>16690.531674163441</v>
      </c>
      <c r="F17" s="307">
        <v>48</v>
      </c>
      <c r="G17" s="281">
        <f t="shared" ref="G17:G18" si="5">+F17*E17</f>
        <v>801145.52035984513</v>
      </c>
      <c r="H17" s="269">
        <f t="shared" ref="H17:H18" si="6">+G17/G$5</f>
        <v>4.8856890580434271</v>
      </c>
      <c r="I17" s="269">
        <f t="shared" ref="I17:I18" si="7">+G17/G$4</f>
        <v>3.921090855679386</v>
      </c>
      <c r="J17" s="282"/>
      <c r="K17" s="703">
        <v>16692</v>
      </c>
      <c r="L17" s="703">
        <f t="shared" si="4"/>
        <v>-1.4683258365585061</v>
      </c>
      <c r="M17" s="267"/>
    </row>
    <row r="18" spans="2:16" ht="20.100000000000001" customHeight="1" x14ac:dyDescent="0.3">
      <c r="B18" s="277">
        <f t="shared" si="2"/>
        <v>11</v>
      </c>
      <c r="C18" s="283" t="s">
        <v>322</v>
      </c>
      <c r="D18" s="279" t="s">
        <v>3</v>
      </c>
      <c r="E18" s="280">
        <f>+'Material Abs'!N7</f>
        <v>231.41523814380005</v>
      </c>
      <c r="F18" s="307">
        <v>36</v>
      </c>
      <c r="G18" s="281">
        <f t="shared" si="5"/>
        <v>8330.9485731768018</v>
      </c>
      <c r="H18" s="269">
        <f t="shared" si="6"/>
        <v>5.0805282252355817E-2</v>
      </c>
      <c r="I18" s="269">
        <f t="shared" si="7"/>
        <v>4.0774622636279907E-2</v>
      </c>
      <c r="J18" s="282"/>
      <c r="K18" s="703">
        <v>231.6</v>
      </c>
      <c r="L18" s="703">
        <f t="shared" si="4"/>
        <v>-0.18476185619994112</v>
      </c>
    </row>
    <row r="19" spans="2:16" ht="20.100000000000001" customHeight="1" x14ac:dyDescent="0.3">
      <c r="B19" s="277">
        <f t="shared" si="2"/>
        <v>12</v>
      </c>
      <c r="C19" s="283" t="s">
        <v>242</v>
      </c>
      <c r="D19" s="279" t="s">
        <v>3</v>
      </c>
      <c r="E19" s="280">
        <f>+'Material Abs'!O22</f>
        <v>0</v>
      </c>
      <c r="F19" s="284">
        <v>12</v>
      </c>
      <c r="G19" s="281">
        <f t="shared" ref="G19" si="8">+F19*E19</f>
        <v>0</v>
      </c>
      <c r="H19" s="269">
        <f t="shared" ref="H19" si="9">+G19/G$5</f>
        <v>0</v>
      </c>
      <c r="I19" s="269">
        <f t="shared" ref="I19" si="10">+G19/G$4</f>
        <v>0</v>
      </c>
      <c r="J19" s="294" t="s">
        <v>513</v>
      </c>
      <c r="L19" s="703">
        <f t="shared" si="4"/>
        <v>0</v>
      </c>
    </row>
    <row r="20" spans="2:16" ht="35.25" customHeight="1" x14ac:dyDescent="0.3">
      <c r="B20" s="277">
        <f t="shared" si="2"/>
        <v>13</v>
      </c>
      <c r="C20" s="283" t="s">
        <v>178</v>
      </c>
      <c r="D20" s="279" t="s">
        <v>179</v>
      </c>
      <c r="E20" s="280">
        <v>6</v>
      </c>
      <c r="F20" s="280">
        <v>2605</v>
      </c>
      <c r="G20" s="281">
        <f t="shared" si="0"/>
        <v>15630</v>
      </c>
      <c r="H20" s="269">
        <f>+G20/G$5</f>
        <v>9.5317664564758681E-2</v>
      </c>
      <c r="I20" s="269">
        <f t="shared" si="1"/>
        <v>7.6498773963987327E-2</v>
      </c>
      <c r="J20" s="282" t="s">
        <v>180</v>
      </c>
      <c r="K20" s="703">
        <v>6</v>
      </c>
      <c r="L20" s="703">
        <f t="shared" si="4"/>
        <v>0</v>
      </c>
    </row>
    <row r="21" spans="2:16" ht="23.1" customHeight="1" x14ac:dyDescent="0.3">
      <c r="B21" s="277"/>
      <c r="C21" s="286" t="s">
        <v>185</v>
      </c>
      <c r="D21" s="279"/>
      <c r="E21" s="269"/>
      <c r="F21" s="280"/>
      <c r="G21" s="269"/>
      <c r="H21" s="269"/>
      <c r="I21" s="269"/>
      <c r="J21" s="282"/>
      <c r="L21" s="703">
        <f t="shared" si="4"/>
        <v>0</v>
      </c>
    </row>
    <row r="22" spans="2:16" ht="23.1" customHeight="1" x14ac:dyDescent="0.3">
      <c r="B22" s="277">
        <f>+B20+1</f>
        <v>14</v>
      </c>
      <c r="C22" s="278" t="s">
        <v>60</v>
      </c>
      <c r="D22" s="279" t="s">
        <v>116</v>
      </c>
      <c r="E22" s="269">
        <f>+'Material Abs'!Q22</f>
        <v>1772</v>
      </c>
      <c r="F22" s="284">
        <v>51.5</v>
      </c>
      <c r="G22" s="281">
        <f>+F22*E22</f>
        <v>91258</v>
      </c>
      <c r="H22" s="269">
        <f t="shared" ref="H22:H25" si="11">+G22/G$5</f>
        <v>0.5565258754223128</v>
      </c>
      <c r="I22" s="269">
        <f t="shared" ref="I22:I25" si="12">+G22/G$4</f>
        <v>0.44664907961647832</v>
      </c>
      <c r="J22" s="294"/>
      <c r="K22" s="703">
        <v>1773</v>
      </c>
      <c r="L22" s="703">
        <f t="shared" si="4"/>
        <v>-1</v>
      </c>
    </row>
    <row r="23" spans="2:16" ht="23.1" customHeight="1" x14ac:dyDescent="0.3">
      <c r="B23" s="277">
        <f>B22+1</f>
        <v>15</v>
      </c>
      <c r="C23" s="278" t="s">
        <v>61</v>
      </c>
      <c r="D23" s="279" t="s">
        <v>116</v>
      </c>
      <c r="E23" s="269">
        <f>+'Material Abs'!R22</f>
        <v>946</v>
      </c>
      <c r="F23" s="284">
        <v>51</v>
      </c>
      <c r="G23" s="281">
        <f>+F23*E23</f>
        <v>48246</v>
      </c>
      <c r="H23" s="269">
        <f t="shared" si="11"/>
        <v>0.29422239568722636</v>
      </c>
      <c r="I23" s="269">
        <f t="shared" si="12"/>
        <v>0.23613306773298354</v>
      </c>
      <c r="J23" s="294"/>
      <c r="K23" s="703">
        <v>946</v>
      </c>
      <c r="L23" s="703">
        <f t="shared" si="4"/>
        <v>0</v>
      </c>
    </row>
    <row r="24" spans="2:16" ht="23.1" customHeight="1" x14ac:dyDescent="0.3">
      <c r="B24" s="277">
        <f>B23+1</f>
        <v>16</v>
      </c>
      <c r="C24" s="278" t="s">
        <v>186</v>
      </c>
      <c r="D24" s="279" t="s">
        <v>116</v>
      </c>
      <c r="E24" s="269">
        <f>+'Material Abs'!P22</f>
        <v>87</v>
      </c>
      <c r="F24" s="280">
        <v>57</v>
      </c>
      <c r="G24" s="281">
        <f>+F24*E24</f>
        <v>4959</v>
      </c>
      <c r="H24" s="269">
        <f t="shared" si="11"/>
        <v>3.0241861713156643E-2</v>
      </c>
      <c r="I24" s="269">
        <f t="shared" si="12"/>
        <v>2.4271108130992525E-2</v>
      </c>
      <c r="J24" s="282"/>
      <c r="K24" s="703">
        <v>86.6</v>
      </c>
      <c r="L24" s="703">
        <f t="shared" si="4"/>
        <v>0.40000000000000568</v>
      </c>
    </row>
    <row r="25" spans="2:16" ht="23.1" customHeight="1" x14ac:dyDescent="0.3">
      <c r="B25" s="277">
        <f>B24+1</f>
        <v>17</v>
      </c>
      <c r="C25" s="278" t="s">
        <v>187</v>
      </c>
      <c r="D25" s="279" t="s">
        <v>116</v>
      </c>
      <c r="E25" s="269">
        <f>+'Material Abs'!S22</f>
        <v>33</v>
      </c>
      <c r="F25" s="280">
        <f>55*0+70</f>
        <v>70</v>
      </c>
      <c r="G25" s="281">
        <f>+F25*E25</f>
        <v>2310</v>
      </c>
      <c r="H25" s="269">
        <f t="shared" si="11"/>
        <v>1.4087255607459537E-2</v>
      </c>
      <c r="I25" s="269">
        <f t="shared" si="12"/>
        <v>1.130596083536857E-2</v>
      </c>
      <c r="J25" s="294"/>
      <c r="K25" s="703">
        <v>32.799999999999997</v>
      </c>
      <c r="L25" s="703">
        <f t="shared" si="4"/>
        <v>0.20000000000000284</v>
      </c>
    </row>
    <row r="26" spans="2:16" ht="22.5" customHeight="1" x14ac:dyDescent="0.3">
      <c r="B26" s="285"/>
      <c r="C26" s="711" t="s">
        <v>188</v>
      </c>
      <c r="D26" s="712"/>
      <c r="E26" s="712"/>
      <c r="F26" s="713"/>
      <c r="G26" s="603">
        <f>SUM(G8:G25)</f>
        <v>5167988.7912614932</v>
      </c>
      <c r="H26" s="603">
        <f>SUM(H8:H25)</f>
        <v>31.516354579647842</v>
      </c>
      <c r="I26" s="603">
        <f>SUM(I8:I25)</f>
        <v>25.29397353750052</v>
      </c>
      <c r="J26" s="294"/>
    </row>
    <row r="27" spans="2:16" ht="23.1" customHeight="1" x14ac:dyDescent="0.3">
      <c r="B27" s="616" t="s">
        <v>189</v>
      </c>
      <c r="C27" s="615" t="s">
        <v>190</v>
      </c>
      <c r="D27" s="650"/>
      <c r="E27" s="649"/>
      <c r="F27" s="649"/>
      <c r="G27" s="649"/>
      <c r="H27" s="649"/>
      <c r="I27" s="649"/>
      <c r="J27" s="647"/>
    </row>
    <row r="28" spans="2:16" ht="23.1" customHeight="1" x14ac:dyDescent="0.3">
      <c r="B28" s="646"/>
      <c r="C28" s="641" t="s">
        <v>512</v>
      </c>
      <c r="D28" s="650"/>
      <c r="E28" s="649"/>
      <c r="F28" s="649"/>
      <c r="G28" s="649"/>
      <c r="H28" s="649"/>
      <c r="I28" s="649"/>
      <c r="J28" s="614" t="s">
        <v>235</v>
      </c>
      <c r="O28" s="265" t="s">
        <v>532</v>
      </c>
    </row>
    <row r="29" spans="2:16" ht="20.25" customHeight="1" x14ac:dyDescent="0.3">
      <c r="B29" s="652">
        <f>+B16+1</f>
        <v>10</v>
      </c>
      <c r="C29" s="643" t="s">
        <v>323</v>
      </c>
      <c r="D29" s="650" t="s">
        <v>103</v>
      </c>
      <c r="E29" s="626">
        <f>+'BW Abs'!Y5</f>
        <v>283.49316450000003</v>
      </c>
      <c r="F29" s="649">
        <v>21</v>
      </c>
      <c r="G29" s="648">
        <f>+F29*E29</f>
        <v>5953.3564545000008</v>
      </c>
      <c r="H29" s="649">
        <f t="shared" ref="H29:H35" si="13">+G29/G$5</f>
        <v>3.630582428435522E-2</v>
      </c>
      <c r="I29" s="649">
        <f t="shared" ref="I29:I35" si="14">+G29/G$4</f>
        <v>2.9137841953924545E-2</v>
      </c>
      <c r="J29" s="647"/>
      <c r="K29" s="703">
        <f>1909+257.3</f>
        <v>2166.3000000000002</v>
      </c>
      <c r="L29" s="703">
        <f t="shared" ref="L29:L35" si="15">+E29+E38+E47+E56+E65</f>
        <v>2165.890132235455</v>
      </c>
      <c r="M29" s="606">
        <f>+E29+E38+E47+E56+E65</f>
        <v>2165.890132235455</v>
      </c>
      <c r="N29" s="267">
        <f>+'BW Abs'!Y12</f>
        <v>2165.890132235455</v>
      </c>
      <c r="O29" s="265">
        <v>18</v>
      </c>
      <c r="P29" s="265">
        <f>+O29*N29</f>
        <v>38986.022380238188</v>
      </c>
    </row>
    <row r="30" spans="2:16" ht="20.25" customHeight="1" x14ac:dyDescent="0.3">
      <c r="B30" s="652">
        <f t="shared" ref="B30:B35" si="16">+B29+1</f>
        <v>11</v>
      </c>
      <c r="C30" s="643" t="s">
        <v>324</v>
      </c>
      <c r="D30" s="650" t="s">
        <v>103</v>
      </c>
      <c r="E30" s="626">
        <f>+'BW Abs'!AA5</f>
        <v>4240.3221134999994</v>
      </c>
      <c r="F30" s="649">
        <v>21</v>
      </c>
      <c r="G30" s="649">
        <f>+F30*E30</f>
        <v>89046.764383499991</v>
      </c>
      <c r="H30" s="649">
        <f t="shared" si="13"/>
        <v>0.54304092246215951</v>
      </c>
      <c r="I30" s="649">
        <f t="shared" si="14"/>
        <v>0.4358265067688934</v>
      </c>
      <c r="J30" s="647"/>
      <c r="K30" s="703">
        <f>16681.5+48476</f>
        <v>65157.5</v>
      </c>
      <c r="L30" s="703">
        <f t="shared" si="15"/>
        <v>65157.824698391014</v>
      </c>
      <c r="M30" s="606">
        <f>+E30+E39+E48+E57+E66</f>
        <v>65157.824698391014</v>
      </c>
      <c r="N30" s="267">
        <f>+'BW Abs'!AA12</f>
        <v>65157.824698391014</v>
      </c>
      <c r="O30" s="265">
        <v>24</v>
      </c>
      <c r="P30" s="265">
        <f t="shared" ref="P30:P35" si="17">+O30*N30</f>
        <v>1563787.7927613843</v>
      </c>
    </row>
    <row r="31" spans="2:16" ht="20.25" customHeight="1" x14ac:dyDescent="0.3">
      <c r="B31" s="652">
        <f t="shared" si="16"/>
        <v>12</v>
      </c>
      <c r="C31" s="643" t="s">
        <v>14</v>
      </c>
      <c r="D31" s="650" t="s">
        <v>65</v>
      </c>
      <c r="E31" s="626">
        <f>+'BW Abs'!AB5</f>
        <v>0</v>
      </c>
      <c r="F31" s="649">
        <v>60</v>
      </c>
      <c r="G31" s="649">
        <f>+F31*E31</f>
        <v>0</v>
      </c>
      <c r="H31" s="649">
        <f t="shared" si="13"/>
        <v>0</v>
      </c>
      <c r="I31" s="649">
        <f t="shared" si="14"/>
        <v>0</v>
      </c>
      <c r="J31" s="647" t="s">
        <v>513</v>
      </c>
      <c r="K31" s="703">
        <v>140.4</v>
      </c>
      <c r="L31" s="703">
        <f t="shared" si="15"/>
        <v>140.32975581299999</v>
      </c>
      <c r="M31" s="606">
        <f t="shared" ref="M31:M34" si="18">+E31+E40+E49+E58+E67</f>
        <v>140.32975581299999</v>
      </c>
      <c r="N31" s="267">
        <f>+'BW Abs'!AB12</f>
        <v>140.32975581299999</v>
      </c>
      <c r="O31" s="265">
        <v>60</v>
      </c>
      <c r="P31" s="265">
        <f t="shared" si="17"/>
        <v>8419.7853487800003</v>
      </c>
    </row>
    <row r="32" spans="2:16" ht="20.25" customHeight="1" x14ac:dyDescent="0.3">
      <c r="B32" s="652">
        <f t="shared" si="16"/>
        <v>13</v>
      </c>
      <c r="C32" s="643" t="s">
        <v>240</v>
      </c>
      <c r="D32" s="650" t="s">
        <v>103</v>
      </c>
      <c r="E32" s="626">
        <f>+'BW Abs'!M5</f>
        <v>34.758750000000006</v>
      </c>
      <c r="F32" s="649">
        <v>65</v>
      </c>
      <c r="G32" s="649">
        <f>+F32*E32</f>
        <v>2259.3187500000004</v>
      </c>
      <c r="H32" s="649">
        <f t="shared" si="13"/>
        <v>1.3778182134188735E-2</v>
      </c>
      <c r="I32" s="649">
        <f t="shared" si="14"/>
        <v>1.1057908788793886E-2</v>
      </c>
      <c r="J32" s="647"/>
      <c r="K32" s="703">
        <v>2922.4</v>
      </c>
      <c r="L32" s="703">
        <f t="shared" si="15"/>
        <v>2921.8626251959995</v>
      </c>
      <c r="M32" s="606">
        <f t="shared" si="18"/>
        <v>2921.8626251959995</v>
      </c>
      <c r="N32" s="267">
        <f>+'BW Abs'!M12</f>
        <v>2921.862625196</v>
      </c>
      <c r="O32" s="265">
        <v>65</v>
      </c>
      <c r="P32" s="265">
        <f t="shared" si="17"/>
        <v>189921.07063773999</v>
      </c>
    </row>
    <row r="33" spans="2:16" ht="20.25" customHeight="1" x14ac:dyDescent="0.3">
      <c r="B33" s="652">
        <f t="shared" si="16"/>
        <v>14</v>
      </c>
      <c r="C33" s="643" t="s">
        <v>239</v>
      </c>
      <c r="D33" s="650" t="s">
        <v>65</v>
      </c>
      <c r="E33" s="626">
        <f>+'BW Abs'!AC5</f>
        <v>7.7548755000000007</v>
      </c>
      <c r="F33" s="649">
        <v>60</v>
      </c>
      <c r="G33" s="649">
        <f t="shared" ref="G33:G35" si="19">+F33*E33</f>
        <v>465.29253000000006</v>
      </c>
      <c r="H33" s="649">
        <f t="shared" si="13"/>
        <v>2.8375302174681971E-3</v>
      </c>
      <c r="I33" s="649">
        <f t="shared" si="14"/>
        <v>2.2773069788612796E-3</v>
      </c>
      <c r="J33" s="647"/>
      <c r="K33" s="703">
        <v>611</v>
      </c>
      <c r="L33" s="703">
        <f t="shared" si="15"/>
        <v>610.70314709799993</v>
      </c>
      <c r="M33" s="606">
        <f t="shared" si="18"/>
        <v>610.70314709799993</v>
      </c>
      <c r="N33" s="267">
        <f>+'BW Abs'!AC12</f>
        <v>610.70314709799993</v>
      </c>
      <c r="O33" s="265">
        <v>60</v>
      </c>
      <c r="P33" s="265">
        <f t="shared" si="17"/>
        <v>36642.188825879995</v>
      </c>
    </row>
    <row r="34" spans="2:16" ht="20.100000000000001" customHeight="1" x14ac:dyDescent="0.3">
      <c r="B34" s="652">
        <f t="shared" si="16"/>
        <v>15</v>
      </c>
      <c r="C34" s="643" t="s">
        <v>241</v>
      </c>
      <c r="D34" s="650" t="s">
        <v>3</v>
      </c>
      <c r="E34" s="626">
        <f>+'Base Floor - BW'!E105</f>
        <v>3</v>
      </c>
      <c r="F34" s="649">
        <v>350</v>
      </c>
      <c r="G34" s="649">
        <f t="shared" si="19"/>
        <v>1050</v>
      </c>
      <c r="H34" s="649">
        <f t="shared" si="13"/>
        <v>6.4032980033906992E-3</v>
      </c>
      <c r="I34" s="649">
        <f t="shared" si="14"/>
        <v>5.1390731069857138E-3</v>
      </c>
      <c r="J34" s="647"/>
      <c r="K34" s="703">
        <v>27</v>
      </c>
      <c r="L34" s="703">
        <f t="shared" si="15"/>
        <v>27</v>
      </c>
      <c r="M34" s="606">
        <f t="shared" si="18"/>
        <v>27</v>
      </c>
      <c r="N34" s="606">
        <f>+M34</f>
        <v>27</v>
      </c>
      <c r="O34" s="265">
        <v>350</v>
      </c>
      <c r="P34" s="265">
        <f t="shared" si="17"/>
        <v>9450</v>
      </c>
    </row>
    <row r="35" spans="2:16" ht="34.5" customHeight="1" x14ac:dyDescent="0.3">
      <c r="B35" s="652">
        <f t="shared" si="16"/>
        <v>16</v>
      </c>
      <c r="C35" s="643" t="s">
        <v>509</v>
      </c>
      <c r="D35" s="650" t="s">
        <v>103</v>
      </c>
      <c r="E35" s="626">
        <f>+'Struc Abs'!T7</f>
        <v>21531.584000000003</v>
      </c>
      <c r="F35" s="649">
        <v>3</v>
      </c>
      <c r="G35" s="648">
        <f t="shared" si="19"/>
        <v>64594.752000000008</v>
      </c>
      <c r="H35" s="649">
        <f t="shared" si="13"/>
        <v>0.3939232823915404</v>
      </c>
      <c r="I35" s="649">
        <f t="shared" si="14"/>
        <v>0.31614966938629679</v>
      </c>
      <c r="J35" s="647"/>
      <c r="K35" s="703">
        <v>111918</v>
      </c>
      <c r="L35" s="703">
        <f t="shared" si="15"/>
        <v>111917.24992560805</v>
      </c>
      <c r="M35" s="606">
        <f>+E35+E44+E53+E62</f>
        <v>111917.24992560805</v>
      </c>
      <c r="N35" s="606">
        <f>+M35</f>
        <v>111917.24992560805</v>
      </c>
      <c r="O35" s="265">
        <v>3</v>
      </c>
      <c r="P35" s="265">
        <f t="shared" si="17"/>
        <v>335751.74977682414</v>
      </c>
    </row>
    <row r="36" spans="2:16" ht="22.5" customHeight="1" x14ac:dyDescent="0.3">
      <c r="B36" s="646"/>
      <c r="C36" s="714" t="s">
        <v>519</v>
      </c>
      <c r="D36" s="715"/>
      <c r="E36" s="715"/>
      <c r="F36" s="715"/>
      <c r="G36" s="638">
        <f>SUM(G29:G35)</f>
        <v>163369.48411800002</v>
      </c>
      <c r="H36" s="638">
        <f>SUM(H29:H35)</f>
        <v>0.99628903949310277</v>
      </c>
      <c r="I36" s="638">
        <f>SUM(I29:I35)</f>
        <v>0.7995883069837556</v>
      </c>
      <c r="J36" s="637"/>
      <c r="M36" s="606">
        <f>+E35+E44+E53+E62+E70</f>
        <v>111917.24992560805</v>
      </c>
      <c r="N36" s="265">
        <f>+'Struc Abs'!T37</f>
        <v>111917.24992560805</v>
      </c>
      <c r="P36" s="265">
        <f>SUM(P29:P35)</f>
        <v>2182958.6097308462</v>
      </c>
    </row>
    <row r="37" spans="2:16" ht="23.1" customHeight="1" x14ac:dyDescent="0.3">
      <c r="B37" s="646"/>
      <c r="C37" s="641" t="s">
        <v>516</v>
      </c>
      <c r="D37" s="650"/>
      <c r="E37" s="649"/>
      <c r="F37" s="649"/>
      <c r="G37" s="649"/>
      <c r="H37" s="649"/>
      <c r="I37" s="649"/>
      <c r="J37" s="614" t="s">
        <v>235</v>
      </c>
      <c r="P37" s="654">
        <f>+G74</f>
        <v>2145905.3816716508</v>
      </c>
    </row>
    <row r="38" spans="2:16" ht="20.25" customHeight="1" x14ac:dyDescent="0.3">
      <c r="B38" s="652">
        <f>+B25+1</f>
        <v>18</v>
      </c>
      <c r="C38" s="643" t="s">
        <v>323</v>
      </c>
      <c r="D38" s="650" t="s">
        <v>103</v>
      </c>
      <c r="E38" s="626">
        <f>+'BW Abs'!Y6</f>
        <v>338.58410732436369</v>
      </c>
      <c r="F38" s="649">
        <v>21</v>
      </c>
      <c r="G38" s="648">
        <f>+F38*E38</f>
        <v>7110.2662538116374</v>
      </c>
      <c r="H38" s="649">
        <f t="shared" ref="H38" si="20">+G38/G$5</f>
        <v>4.3361098768198401E-2</v>
      </c>
      <c r="I38" s="649">
        <f t="shared" ref="I38" si="21">+G38/G$4</f>
        <v>3.4800169608068039E-2</v>
      </c>
      <c r="J38" s="647"/>
    </row>
    <row r="39" spans="2:16" ht="20.25" customHeight="1" x14ac:dyDescent="0.3">
      <c r="B39" s="652">
        <f t="shared" ref="B39:B44" si="22">+B38+1</f>
        <v>19</v>
      </c>
      <c r="C39" s="643" t="s">
        <v>324</v>
      </c>
      <c r="D39" s="650" t="s">
        <v>103</v>
      </c>
      <c r="E39" s="626">
        <f>+'BW Abs'!AA6</f>
        <v>13395.468309808</v>
      </c>
      <c r="F39" s="649">
        <v>21</v>
      </c>
      <c r="G39" s="648">
        <f>+F39*E39</f>
        <v>281304.83450596803</v>
      </c>
      <c r="H39" s="649">
        <f t="shared" ref="H39:H40" si="23">+G39/G$5</f>
        <v>1.7155035096535391</v>
      </c>
      <c r="I39" s="649">
        <f t="shared" ref="I39:I40" si="24">+G39/G$4</f>
        <v>1.3768058189282735</v>
      </c>
      <c r="J39" s="647"/>
      <c r="P39" s="606">
        <f>+P36-P37</f>
        <v>37053.228059195448</v>
      </c>
    </row>
    <row r="40" spans="2:16" ht="20.25" customHeight="1" x14ac:dyDescent="0.3">
      <c r="B40" s="652">
        <f t="shared" si="22"/>
        <v>20</v>
      </c>
      <c r="C40" s="643" t="s">
        <v>14</v>
      </c>
      <c r="D40" s="650" t="s">
        <v>65</v>
      </c>
      <c r="E40" s="626">
        <f>+'BW Abs'!I6</f>
        <v>35.163613687000009</v>
      </c>
      <c r="F40" s="649">
        <v>60</v>
      </c>
      <c r="G40" s="648">
        <f>+F40*E40</f>
        <v>2109.8168212200007</v>
      </c>
      <c r="H40" s="649">
        <f t="shared" si="23"/>
        <v>1.2866462703655372E-2</v>
      </c>
      <c r="I40" s="649">
        <f t="shared" si="24"/>
        <v>1.0326193225331229E-2</v>
      </c>
      <c r="J40" s="647"/>
    </row>
    <row r="41" spans="2:16" ht="20.25" customHeight="1" x14ac:dyDescent="0.3">
      <c r="B41" s="652">
        <f t="shared" si="22"/>
        <v>21</v>
      </c>
      <c r="C41" s="643" t="s">
        <v>240</v>
      </c>
      <c r="D41" s="650" t="s">
        <v>103</v>
      </c>
      <c r="E41" s="626">
        <f>+'BW Abs'!M6</f>
        <v>764.74193332699997</v>
      </c>
      <c r="F41" s="649">
        <v>65</v>
      </c>
      <c r="G41" s="648">
        <f>+F41*E41</f>
        <v>49708.225666254999</v>
      </c>
      <c r="H41" s="649">
        <f t="shared" ref="H41" si="25">+G41/G$5</f>
        <v>0.3031396020579285</v>
      </c>
      <c r="I41" s="649">
        <f t="shared" ref="I41" si="26">+G41/G$4</f>
        <v>0.24328971973088387</v>
      </c>
      <c r="J41" s="647"/>
    </row>
    <row r="42" spans="2:16" ht="20.25" customHeight="1" x14ac:dyDescent="0.3">
      <c r="B42" s="652">
        <f t="shared" si="22"/>
        <v>22</v>
      </c>
      <c r="C42" s="643" t="s">
        <v>239</v>
      </c>
      <c r="D42" s="650" t="s">
        <v>65</v>
      </c>
      <c r="E42" s="626">
        <f>+'BW Abs'!AC6</f>
        <v>159.95586966349998</v>
      </c>
      <c r="F42" s="649">
        <v>60</v>
      </c>
      <c r="G42" s="648">
        <f t="shared" ref="G42:G43" si="27">+F42*E42</f>
        <v>9597.3521798099991</v>
      </c>
      <c r="H42" s="649">
        <f t="shared" ref="H42:H43" si="28">+G42/G$5</f>
        <v>5.8528291476966414E-2</v>
      </c>
      <c r="I42" s="649">
        <f t="shared" ref="I42:I43" si="29">+G42/G$4</f>
        <v>4.6972851890983124E-2</v>
      </c>
      <c r="J42" s="647"/>
    </row>
    <row r="43" spans="2:16" ht="20.100000000000001" customHeight="1" x14ac:dyDescent="0.3">
      <c r="B43" s="652">
        <f t="shared" si="22"/>
        <v>23</v>
      </c>
      <c r="C43" s="643" t="s">
        <v>241</v>
      </c>
      <c r="D43" s="650" t="s">
        <v>3</v>
      </c>
      <c r="E43" s="626">
        <f>+'Ground Floor - BW'!E289</f>
        <v>6</v>
      </c>
      <c r="F43" s="649">
        <v>350</v>
      </c>
      <c r="G43" s="648">
        <f t="shared" si="27"/>
        <v>2100</v>
      </c>
      <c r="H43" s="649">
        <f t="shared" si="28"/>
        <v>1.2806596006781398E-2</v>
      </c>
      <c r="I43" s="649">
        <f t="shared" si="29"/>
        <v>1.0278146213971428E-2</v>
      </c>
      <c r="J43" s="647"/>
    </row>
    <row r="44" spans="2:16" ht="28.8" x14ac:dyDescent="0.3">
      <c r="B44" s="652">
        <f t="shared" si="22"/>
        <v>24</v>
      </c>
      <c r="C44" s="643" t="s">
        <v>509</v>
      </c>
      <c r="D44" s="650" t="s">
        <v>103</v>
      </c>
      <c r="E44" s="626">
        <f>+'Struc Abs'!T13</f>
        <v>22596.416481402011</v>
      </c>
      <c r="F44" s="649">
        <v>3</v>
      </c>
      <c r="G44" s="648">
        <f t="shared" ref="G44" si="30">+F44*E44</f>
        <v>67789.249444206042</v>
      </c>
      <c r="H44" s="649">
        <f t="shared" ref="H44" si="31">+G44/G$5</f>
        <v>0.41340453868327481</v>
      </c>
      <c r="I44" s="649">
        <f t="shared" ref="I44" si="32">+G44/G$4</f>
        <v>0.33178467501091952</v>
      </c>
      <c r="J44" s="647"/>
    </row>
    <row r="45" spans="2:16" ht="22.5" customHeight="1" x14ac:dyDescent="0.3">
      <c r="B45" s="646"/>
      <c r="C45" s="714" t="s">
        <v>520</v>
      </c>
      <c r="D45" s="715"/>
      <c r="E45" s="715"/>
      <c r="F45" s="715"/>
      <c r="G45" s="638">
        <f>SUM(G38:G44)</f>
        <v>419719.74487127073</v>
      </c>
      <c r="H45" s="638">
        <f>SUM(H38:H44)</f>
        <v>2.5596100993503446</v>
      </c>
      <c r="I45" s="638">
        <f>SUM(I38:I44)</f>
        <v>2.0542575746084304</v>
      </c>
      <c r="J45" s="637"/>
    </row>
    <row r="46" spans="2:16" ht="23.1" customHeight="1" x14ac:dyDescent="0.3">
      <c r="B46" s="646"/>
      <c r="C46" s="641" t="s">
        <v>510</v>
      </c>
      <c r="D46" s="650"/>
      <c r="E46" s="649"/>
      <c r="F46" s="649"/>
      <c r="G46" s="649"/>
      <c r="H46" s="649"/>
      <c r="I46" s="649"/>
      <c r="J46" s="614" t="s">
        <v>235</v>
      </c>
    </row>
    <row r="47" spans="2:16" ht="20.25" customHeight="1" x14ac:dyDescent="0.3">
      <c r="B47" s="652">
        <f>+B44+1</f>
        <v>25</v>
      </c>
      <c r="C47" s="643" t="s">
        <v>323</v>
      </c>
      <c r="D47" s="650" t="s">
        <v>103</v>
      </c>
      <c r="E47" s="626">
        <f>+'BW Abs'!Y7</f>
        <v>338.64863147036368</v>
      </c>
      <c r="F47" s="649">
        <f>+F38+1</f>
        <v>22</v>
      </c>
      <c r="G47" s="648">
        <f>+F47*E47</f>
        <v>7450.2698923480011</v>
      </c>
      <c r="H47" s="649">
        <f t="shared" ref="H47:H53" si="33">+G47/G$5</f>
        <v>4.5434569834660751E-2</v>
      </c>
      <c r="I47" s="649">
        <f t="shared" ref="I47:I53" si="34">+G47/G$4</f>
        <v>3.6464268231953291E-2</v>
      </c>
      <c r="J47" s="647"/>
    </row>
    <row r="48" spans="2:16" ht="20.25" customHeight="1" x14ac:dyDescent="0.3">
      <c r="B48" s="652">
        <f t="shared" ref="B48:B53" si="35">+B47+1</f>
        <v>26</v>
      </c>
      <c r="C48" s="643" t="s">
        <v>324</v>
      </c>
      <c r="D48" s="650" t="s">
        <v>103</v>
      </c>
      <c r="E48" s="626">
        <f>+'BW Abs'!AA7</f>
        <v>13672.551981664004</v>
      </c>
      <c r="F48" s="649">
        <f>+F39+1</f>
        <v>22</v>
      </c>
      <c r="G48" s="648">
        <f>+F48*E48</f>
        <v>300796.14359660808</v>
      </c>
      <c r="H48" s="649">
        <f t="shared" si="33"/>
        <v>1.8343689006855071</v>
      </c>
      <c r="I48" s="649">
        <f t="shared" si="34"/>
        <v>1.4722032116593728</v>
      </c>
      <c r="J48" s="647"/>
    </row>
    <row r="49" spans="2:12" ht="20.25" customHeight="1" x14ac:dyDescent="0.3">
      <c r="B49" s="652">
        <f t="shared" si="35"/>
        <v>27</v>
      </c>
      <c r="C49" s="643" t="s">
        <v>14</v>
      </c>
      <c r="D49" s="650" t="s">
        <v>65</v>
      </c>
      <c r="E49" s="626">
        <f>+'BW Abs'!AB7</f>
        <v>33.938223298000004</v>
      </c>
      <c r="F49" s="649">
        <v>60</v>
      </c>
      <c r="G49" s="648">
        <f>+F49*E49</f>
        <v>2036.2933978800002</v>
      </c>
      <c r="H49" s="649">
        <f t="shared" si="33"/>
        <v>1.2418088999012063E-2</v>
      </c>
      <c r="I49" s="649">
        <f t="shared" si="34"/>
        <v>9.9663434656930162E-3</v>
      </c>
      <c r="J49" s="647"/>
    </row>
    <row r="50" spans="2:12" ht="20.25" customHeight="1" x14ac:dyDescent="0.3">
      <c r="B50" s="652">
        <f t="shared" si="35"/>
        <v>28</v>
      </c>
      <c r="C50" s="643" t="s">
        <v>240</v>
      </c>
      <c r="D50" s="650" t="s">
        <v>103</v>
      </c>
      <c r="E50" s="626">
        <f>+'BW Abs'!M7</f>
        <v>693.7359486229999</v>
      </c>
      <c r="F50" s="649">
        <v>65</v>
      </c>
      <c r="G50" s="648">
        <f>+F50*E50</f>
        <v>45092.836660494992</v>
      </c>
      <c r="H50" s="649">
        <f t="shared" si="33"/>
        <v>0.27499321043368619</v>
      </c>
      <c r="I50" s="649">
        <f t="shared" si="34"/>
        <v>0.22070036590442788</v>
      </c>
      <c r="J50" s="647"/>
    </row>
    <row r="51" spans="2:12" ht="20.25" customHeight="1" x14ac:dyDescent="0.3">
      <c r="B51" s="652">
        <f t="shared" si="35"/>
        <v>29</v>
      </c>
      <c r="C51" s="643" t="s">
        <v>239</v>
      </c>
      <c r="D51" s="650" t="s">
        <v>65</v>
      </c>
      <c r="E51" s="626">
        <f>+'BW Abs'!AC7</f>
        <v>145.0383773115</v>
      </c>
      <c r="F51" s="649">
        <v>60</v>
      </c>
      <c r="G51" s="648">
        <f t="shared" ref="G51:G53" si="36">+F51*E51</f>
        <v>8702.3026386900001</v>
      </c>
      <c r="H51" s="649">
        <f t="shared" si="33"/>
        <v>5.3069940105928845E-2</v>
      </c>
      <c r="I51" s="649">
        <f t="shared" si="34"/>
        <v>4.2592161389850086E-2</v>
      </c>
      <c r="J51" s="647"/>
    </row>
    <row r="52" spans="2:12" ht="20.100000000000001" customHeight="1" x14ac:dyDescent="0.3">
      <c r="B52" s="652">
        <f t="shared" si="35"/>
        <v>30</v>
      </c>
      <c r="C52" s="643" t="s">
        <v>241</v>
      </c>
      <c r="D52" s="650" t="s">
        <v>3</v>
      </c>
      <c r="E52" s="626">
        <v>6</v>
      </c>
      <c r="F52" s="649">
        <v>350</v>
      </c>
      <c r="G52" s="648">
        <f t="shared" si="36"/>
        <v>2100</v>
      </c>
      <c r="H52" s="649">
        <f t="shared" si="33"/>
        <v>1.2806596006781398E-2</v>
      </c>
      <c r="I52" s="649">
        <f t="shared" si="34"/>
        <v>1.0278146213971428E-2</v>
      </c>
      <c r="J52" s="647"/>
    </row>
    <row r="53" spans="2:12" ht="28.8" x14ac:dyDescent="0.3">
      <c r="B53" s="652">
        <f t="shared" si="35"/>
        <v>31</v>
      </c>
      <c r="C53" s="643" t="s">
        <v>509</v>
      </c>
      <c r="D53" s="650" t="s">
        <v>103</v>
      </c>
      <c r="E53" s="626">
        <f>+'Struc Abs'!T19</f>
        <v>22596.416481402011</v>
      </c>
      <c r="F53" s="649">
        <v>3</v>
      </c>
      <c r="G53" s="648">
        <f t="shared" si="36"/>
        <v>67789.249444206042</v>
      </c>
      <c r="H53" s="649">
        <f t="shared" si="33"/>
        <v>0.41340453868327481</v>
      </c>
      <c r="I53" s="649">
        <f t="shared" si="34"/>
        <v>0.33178467501091952</v>
      </c>
      <c r="J53" s="647"/>
    </row>
    <row r="54" spans="2:12" ht="22.5" customHeight="1" x14ac:dyDescent="0.3">
      <c r="B54" s="646"/>
      <c r="C54" s="714" t="s">
        <v>521</v>
      </c>
      <c r="D54" s="715"/>
      <c r="E54" s="715"/>
      <c r="F54" s="715"/>
      <c r="G54" s="638">
        <f>SUM(G47:G53)</f>
        <v>433967.09563022701</v>
      </c>
      <c r="H54" s="638">
        <f>SUM(H47:H53)</f>
        <v>2.6464958447488511</v>
      </c>
      <c r="I54" s="638">
        <f>SUM(I47:I53)</f>
        <v>2.1239891718761879</v>
      </c>
      <c r="J54" s="637"/>
    </row>
    <row r="55" spans="2:12" ht="23.1" customHeight="1" x14ac:dyDescent="0.3">
      <c r="B55" s="646"/>
      <c r="C55" s="641" t="s">
        <v>517</v>
      </c>
      <c r="D55" s="650"/>
      <c r="E55" s="649"/>
      <c r="F55" s="649"/>
      <c r="G55" s="649"/>
      <c r="H55" s="649"/>
      <c r="I55" s="649"/>
      <c r="J55" s="614" t="s">
        <v>235</v>
      </c>
    </row>
    <row r="56" spans="2:12" ht="20.25" customHeight="1" x14ac:dyDescent="0.3">
      <c r="B56" s="652">
        <f>+B53+1</f>
        <v>32</v>
      </c>
      <c r="C56" s="643" t="s">
        <v>323</v>
      </c>
      <c r="D56" s="650" t="s">
        <v>103</v>
      </c>
      <c r="E56" s="626">
        <f>+'BW Abs'!Y8+'BW Abs'!Y9</f>
        <v>714.23476094072737</v>
      </c>
      <c r="F56" s="649">
        <f>+F47+1</f>
        <v>23</v>
      </c>
      <c r="G56" s="648">
        <f>+F56*E56</f>
        <v>16427.39950163673</v>
      </c>
      <c r="H56" s="649">
        <f t="shared" ref="H56:H62" si="37">+G56/G$5</f>
        <v>0.10018050898069698</v>
      </c>
      <c r="I56" s="649">
        <f t="shared" ref="I56:I62" si="38">+G56/G$4</f>
        <v>8.0401530472925545E-2</v>
      </c>
      <c r="J56" s="647"/>
    </row>
    <row r="57" spans="2:12" ht="20.25" customHeight="1" x14ac:dyDescent="0.3">
      <c r="B57" s="652">
        <f t="shared" ref="B57:B62" si="39">+B56+1</f>
        <v>33</v>
      </c>
      <c r="C57" s="643" t="s">
        <v>324</v>
      </c>
      <c r="D57" s="650" t="s">
        <v>103</v>
      </c>
      <c r="E57" s="626">
        <f>+'BW Abs'!AA8+'BW Abs'!AA9</f>
        <v>26538.329780002005</v>
      </c>
      <c r="F57" s="649">
        <f>+F48+1</f>
        <v>23</v>
      </c>
      <c r="G57" s="648">
        <f>+F57*E57</f>
        <v>610381.58494004607</v>
      </c>
      <c r="H57" s="649">
        <f t="shared" si="37"/>
        <v>3.7223382706219499</v>
      </c>
      <c r="I57" s="649">
        <f t="shared" si="38"/>
        <v>2.987424369680673</v>
      </c>
      <c r="J57" s="647"/>
    </row>
    <row r="58" spans="2:12" ht="20.25" customHeight="1" x14ac:dyDescent="0.3">
      <c r="B58" s="652">
        <f t="shared" si="39"/>
        <v>34</v>
      </c>
      <c r="C58" s="643" t="s">
        <v>14</v>
      </c>
      <c r="D58" s="650" t="s">
        <v>65</v>
      </c>
      <c r="E58" s="626">
        <f>+'BW Abs'!AB8+'BW Abs'!AB9</f>
        <v>68.247817521999991</v>
      </c>
      <c r="F58" s="649">
        <v>60</v>
      </c>
      <c r="G58" s="648">
        <f>+F58*E58</f>
        <v>4094.8690513199995</v>
      </c>
      <c r="H58" s="649">
        <f t="shared" si="37"/>
        <v>2.4972063638536875E-2</v>
      </c>
      <c r="I58" s="649">
        <f t="shared" si="38"/>
        <v>2.0041744207873056E-2</v>
      </c>
      <c r="J58" s="647"/>
    </row>
    <row r="59" spans="2:12" ht="20.25" customHeight="1" x14ac:dyDescent="0.3">
      <c r="B59" s="652">
        <f t="shared" si="39"/>
        <v>35</v>
      </c>
      <c r="C59" s="643" t="s">
        <v>240</v>
      </c>
      <c r="D59" s="650" t="s">
        <v>103</v>
      </c>
      <c r="E59" s="626">
        <f>+'BW Abs'!M8+'BW Abs'!M9</f>
        <v>1384.0270752459996</v>
      </c>
      <c r="F59" s="649">
        <v>65</v>
      </c>
      <c r="G59" s="648">
        <f>+F59*E59</f>
        <v>89961.759890989983</v>
      </c>
      <c r="H59" s="649">
        <f t="shared" si="37"/>
        <v>0.54862091189665674</v>
      </c>
      <c r="I59" s="649">
        <f t="shared" si="38"/>
        <v>0.44030481991704057</v>
      </c>
      <c r="J59" s="647"/>
    </row>
    <row r="60" spans="2:12" ht="20.25" customHeight="1" x14ac:dyDescent="0.3">
      <c r="B60" s="652">
        <f t="shared" si="39"/>
        <v>36</v>
      </c>
      <c r="C60" s="643" t="s">
        <v>239</v>
      </c>
      <c r="D60" s="650" t="s">
        <v>65</v>
      </c>
      <c r="E60" s="626">
        <f>+'BW Abs'!AC8+'BW Abs'!AC9</f>
        <v>289.03156562299995</v>
      </c>
      <c r="F60" s="649">
        <v>60</v>
      </c>
      <c r="G60" s="648">
        <f t="shared" ref="G60:G62" si="40">+F60*E60</f>
        <v>17341.893937379999</v>
      </c>
      <c r="H60" s="649">
        <f t="shared" si="37"/>
        <v>0.10575744268975105</v>
      </c>
      <c r="I60" s="649">
        <f t="shared" si="38"/>
        <v>8.4877391197893462E-2</v>
      </c>
      <c r="J60" s="647"/>
      <c r="L60" s="703">
        <f>1000*25</f>
        <v>25000</v>
      </c>
    </row>
    <row r="61" spans="2:12" ht="20.100000000000001" customHeight="1" x14ac:dyDescent="0.3">
      <c r="B61" s="652">
        <f t="shared" si="39"/>
        <v>37</v>
      </c>
      <c r="C61" s="643" t="s">
        <v>241</v>
      </c>
      <c r="D61" s="650" t="s">
        <v>3</v>
      </c>
      <c r="E61" s="626">
        <f>6*2</f>
        <v>12</v>
      </c>
      <c r="F61" s="649">
        <v>350</v>
      </c>
      <c r="G61" s="648">
        <f t="shared" si="40"/>
        <v>4200</v>
      </c>
      <c r="H61" s="649">
        <f t="shared" si="37"/>
        <v>2.5613192013562797E-2</v>
      </c>
      <c r="I61" s="649">
        <f t="shared" si="38"/>
        <v>2.0556292427942855E-2</v>
      </c>
      <c r="J61" s="647"/>
    </row>
    <row r="62" spans="2:12" ht="28.8" x14ac:dyDescent="0.3">
      <c r="B62" s="652">
        <f t="shared" si="39"/>
        <v>38</v>
      </c>
      <c r="C62" s="643" t="s">
        <v>509</v>
      </c>
      <c r="D62" s="650" t="s">
        <v>103</v>
      </c>
      <c r="E62" s="626">
        <f>+'Struc Abs'!T25+'Struc Abs'!T31</f>
        <v>45192.832962804023</v>
      </c>
      <c r="F62" s="649">
        <v>3</v>
      </c>
      <c r="G62" s="648">
        <f t="shared" si="40"/>
        <v>135578.49888841208</v>
      </c>
      <c r="H62" s="649">
        <f t="shared" si="37"/>
        <v>0.82680907736654963</v>
      </c>
      <c r="I62" s="649">
        <f t="shared" si="38"/>
        <v>0.66356935002183903</v>
      </c>
      <c r="J62" s="647"/>
    </row>
    <row r="63" spans="2:12" ht="22.5" customHeight="1" x14ac:dyDescent="0.3">
      <c r="B63" s="646"/>
      <c r="C63" s="714" t="s">
        <v>522</v>
      </c>
      <c r="D63" s="715"/>
      <c r="E63" s="715"/>
      <c r="F63" s="715"/>
      <c r="G63" s="638">
        <f>SUM(G56:G62)</f>
        <v>877986.00620978489</v>
      </c>
      <c r="H63" s="638">
        <f>SUM(H56:H62)</f>
        <v>5.3542914672077044</v>
      </c>
      <c r="I63" s="638">
        <f>SUM(I56:I62)</f>
        <v>4.2971754979261876</v>
      </c>
      <c r="J63" s="637"/>
    </row>
    <row r="64" spans="2:12" ht="23.1" customHeight="1" x14ac:dyDescent="0.3">
      <c r="B64" s="646"/>
      <c r="C64" s="641" t="s">
        <v>518</v>
      </c>
      <c r="D64" s="650"/>
      <c r="E64" s="649"/>
      <c r="F64" s="649"/>
      <c r="G64" s="649"/>
      <c r="H64" s="649"/>
      <c r="I64" s="649"/>
      <c r="J64" s="614" t="s">
        <v>235</v>
      </c>
    </row>
    <row r="65" spans="2:14" ht="20.25" customHeight="1" x14ac:dyDescent="0.3">
      <c r="B65" s="652">
        <f>+B62+1</f>
        <v>39</v>
      </c>
      <c r="C65" s="643" t="s">
        <v>323</v>
      </c>
      <c r="D65" s="650" t="s">
        <v>103</v>
      </c>
      <c r="E65" s="626">
        <f>+'BW Abs'!Y10</f>
        <v>490.92946800000004</v>
      </c>
      <c r="F65" s="649">
        <f>+F56+1</f>
        <v>24</v>
      </c>
      <c r="G65" s="648">
        <f>+F65*E65</f>
        <v>11782.307232000001</v>
      </c>
      <c r="H65" s="649">
        <f t="shared" ref="H65:H69" si="41">+G65/G$5</f>
        <v>7.185297559428705E-2</v>
      </c>
      <c r="I65" s="649">
        <f t="shared" ref="I65:I69" si="42">+G65/G$4</f>
        <v>5.766679831829951E-2</v>
      </c>
      <c r="J65" s="647"/>
    </row>
    <row r="66" spans="2:14" ht="20.25" customHeight="1" x14ac:dyDescent="0.3">
      <c r="B66" s="652">
        <f t="shared" ref="B66:B69" si="43">+B65+1</f>
        <v>40</v>
      </c>
      <c r="C66" s="643" t="s">
        <v>324</v>
      </c>
      <c r="D66" s="650" t="s">
        <v>103</v>
      </c>
      <c r="E66" s="626">
        <f>+'BW Abs'!AA10</f>
        <v>7311.1525134169988</v>
      </c>
      <c r="F66" s="649">
        <f>+F57+1</f>
        <v>24</v>
      </c>
      <c r="G66" s="648">
        <f>+F66*E66</f>
        <v>175467.66032200796</v>
      </c>
      <c r="H66" s="649">
        <f t="shared" si="41"/>
        <v>1.0700683038090961</v>
      </c>
      <c r="I66" s="649">
        <f t="shared" si="42"/>
        <v>0.85880108029193825</v>
      </c>
      <c r="J66" s="647"/>
    </row>
    <row r="67" spans="2:14" ht="20.25" customHeight="1" x14ac:dyDescent="0.3">
      <c r="B67" s="652">
        <f t="shared" si="43"/>
        <v>41</v>
      </c>
      <c r="C67" s="643" t="s">
        <v>14</v>
      </c>
      <c r="D67" s="650" t="s">
        <v>65</v>
      </c>
      <c r="E67" s="626">
        <f>+'BW Abs'!AB10</f>
        <v>2.9801013060000003</v>
      </c>
      <c r="F67" s="649">
        <v>60</v>
      </c>
      <c r="G67" s="648">
        <f>+F67*E67</f>
        <v>178.80607836000001</v>
      </c>
      <c r="H67" s="649">
        <f t="shared" si="41"/>
        <v>1.0904272424349609E-3</v>
      </c>
      <c r="I67" s="649">
        <f t="shared" si="42"/>
        <v>8.7514048444329163E-4</v>
      </c>
      <c r="J67" s="647"/>
      <c r="L67" s="705" t="s">
        <v>574</v>
      </c>
      <c r="M67" s="677" t="s">
        <v>50</v>
      </c>
      <c r="N67" s="677" t="s">
        <v>4</v>
      </c>
    </row>
    <row r="68" spans="2:14" ht="20.25" customHeight="1" x14ac:dyDescent="0.3">
      <c r="B68" s="652">
        <f t="shared" si="43"/>
        <v>42</v>
      </c>
      <c r="C68" s="643" t="s">
        <v>240</v>
      </c>
      <c r="D68" s="650" t="s">
        <v>103</v>
      </c>
      <c r="E68" s="626">
        <f>+'BW Abs'!M10</f>
        <v>44.598917999999998</v>
      </c>
      <c r="F68" s="649">
        <v>65</v>
      </c>
      <c r="G68" s="648">
        <f>+F68*E68</f>
        <v>2898.92967</v>
      </c>
      <c r="H68" s="649">
        <f t="shared" si="41"/>
        <v>1.767877196941053E-2</v>
      </c>
      <c r="I68" s="649">
        <f t="shared" si="42"/>
        <v>1.4188391910609494E-2</v>
      </c>
      <c r="J68" s="647"/>
      <c r="L68" s="705" t="s">
        <v>572</v>
      </c>
      <c r="M68" s="695" t="s">
        <v>76</v>
      </c>
      <c r="N68" s="696">
        <f>+'1st Floor - BW '!AT275</f>
        <v>1341.1482609999996</v>
      </c>
    </row>
    <row r="69" spans="2:14" ht="20.25" customHeight="1" x14ac:dyDescent="0.3">
      <c r="B69" s="652">
        <f t="shared" si="43"/>
        <v>43</v>
      </c>
      <c r="C69" s="643" t="s">
        <v>239</v>
      </c>
      <c r="D69" s="650" t="s">
        <v>65</v>
      </c>
      <c r="E69" s="626">
        <f>+'BW Abs'!AC10</f>
        <v>8.9224589999999999</v>
      </c>
      <c r="F69" s="649">
        <v>60</v>
      </c>
      <c r="G69" s="648">
        <f t="shared" ref="G69" si="44">+F69*E69</f>
        <v>535.34753999999998</v>
      </c>
      <c r="H69" s="649">
        <f t="shared" si="41"/>
        <v>3.264752222859164E-3</v>
      </c>
      <c r="I69" s="649">
        <f t="shared" si="42"/>
        <v>2.6201810911475796E-3</v>
      </c>
      <c r="J69" s="647"/>
      <c r="L69" s="705" t="s">
        <v>573</v>
      </c>
      <c r="M69" s="695" t="s">
        <v>76</v>
      </c>
      <c r="N69" s="696">
        <f>+'Typical 2,3 - BW'!AT273</f>
        <v>1286.1587499999996</v>
      </c>
    </row>
    <row r="70" spans="2:14" ht="22.5" customHeight="1" x14ac:dyDescent="0.3">
      <c r="B70" s="646"/>
      <c r="C70" s="714" t="s">
        <v>523</v>
      </c>
      <c r="D70" s="715"/>
      <c r="E70" s="715"/>
      <c r="F70" s="715"/>
      <c r="G70" s="638">
        <f>SUM(G65:G69)</f>
        <v>190863.05084236796</v>
      </c>
      <c r="H70" s="638">
        <f>SUM(H65:H69)</f>
        <v>1.1639552308380878</v>
      </c>
      <c r="I70" s="638">
        <f>SUM(I65:I69)</f>
        <v>0.93415159209643805</v>
      </c>
      <c r="J70" s="637"/>
    </row>
    <row r="71" spans="2:14" ht="23.1" customHeight="1" x14ac:dyDescent="0.3">
      <c r="B71" s="646"/>
      <c r="C71" s="641" t="s">
        <v>535</v>
      </c>
      <c r="D71" s="650"/>
      <c r="E71" s="649"/>
      <c r="F71" s="649"/>
      <c r="G71" s="649"/>
      <c r="H71" s="649"/>
      <c r="I71" s="649"/>
      <c r="J71" s="614" t="s">
        <v>235</v>
      </c>
    </row>
    <row r="72" spans="2:14" ht="35.25" customHeight="1" x14ac:dyDescent="0.3">
      <c r="B72" s="652">
        <f>+B69+1</f>
        <v>44</v>
      </c>
      <c r="C72" s="643" t="s">
        <v>534</v>
      </c>
      <c r="D72" s="650" t="s">
        <v>529</v>
      </c>
      <c r="E72" s="649">
        <v>3</v>
      </c>
      <c r="F72" s="649">
        <v>20000</v>
      </c>
      <c r="G72" s="648">
        <f t="shared" ref="G72" si="45">+F72*E72</f>
        <v>60000</v>
      </c>
      <c r="H72" s="649">
        <f t="shared" ref="H72" si="46">+G72/G$5</f>
        <v>0.36590274305089709</v>
      </c>
      <c r="I72" s="649">
        <f t="shared" ref="I72" si="47">+G72/G$4</f>
        <v>0.29366132039918363</v>
      </c>
      <c r="J72" s="647"/>
    </row>
    <row r="73" spans="2:14" ht="22.5" customHeight="1" x14ac:dyDescent="0.3">
      <c r="B73" s="646"/>
      <c r="C73" s="714" t="s">
        <v>531</v>
      </c>
      <c r="D73" s="715"/>
      <c r="E73" s="715"/>
      <c r="F73" s="715"/>
      <c r="G73" s="638">
        <f>SUM(G72)</f>
        <v>60000</v>
      </c>
      <c r="H73" s="638">
        <f>SUM(H72)</f>
        <v>0.36590274305089709</v>
      </c>
      <c r="I73" s="638">
        <f>SUM(I72)</f>
        <v>0.29366132039918363</v>
      </c>
      <c r="J73" s="637"/>
    </row>
    <row r="74" spans="2:14" ht="22.5" customHeight="1" x14ac:dyDescent="0.3">
      <c r="B74" s="285"/>
      <c r="C74" s="711" t="s">
        <v>193</v>
      </c>
      <c r="D74" s="712"/>
      <c r="E74" s="712"/>
      <c r="F74" s="713"/>
      <c r="G74" s="603">
        <f>+G70+G63+G54+G45+G36+G73</f>
        <v>2145905.3816716508</v>
      </c>
      <c r="H74" s="603">
        <f>+H70+H63+H54+H45+H36+H73</f>
        <v>13.086544424688988</v>
      </c>
      <c r="I74" s="603">
        <f>+I70+I63+I54+I45+I36+I73</f>
        <v>10.502823463890183</v>
      </c>
      <c r="J74" s="294"/>
    </row>
    <row r="75" spans="2:14" ht="15" customHeight="1" x14ac:dyDescent="0.3">
      <c r="B75" s="642"/>
      <c r="C75" s="642"/>
      <c r="D75" s="645"/>
      <c r="E75" s="645"/>
      <c r="F75" s="653"/>
      <c r="G75" s="653"/>
      <c r="H75" s="653"/>
      <c r="I75" s="653"/>
      <c r="J75" s="639"/>
    </row>
    <row r="76" spans="2:14" ht="22.5" customHeight="1" x14ac:dyDescent="0.3">
      <c r="B76" s="613"/>
      <c r="C76" s="716" t="s">
        <v>194</v>
      </c>
      <c r="D76" s="717"/>
      <c r="E76" s="717"/>
      <c r="F76" s="717"/>
      <c r="G76" s="612">
        <f>+G74+G26-1.9</f>
        <v>7313892.2729331441</v>
      </c>
      <c r="H76" s="612">
        <f>+H74+H26</f>
        <v>44.602899004336834</v>
      </c>
      <c r="I76" s="612">
        <f>+I74+I26</f>
        <v>35.796797001390701</v>
      </c>
      <c r="J76" s="640" t="s">
        <v>195</v>
      </c>
    </row>
    <row r="79" spans="2:14" ht="19.5" customHeight="1" x14ac:dyDescent="0.3">
      <c r="C79" s="655" t="s">
        <v>525</v>
      </c>
      <c r="F79" s="287" t="s">
        <v>564</v>
      </c>
      <c r="G79" s="287">
        <v>14318705</v>
      </c>
    </row>
    <row r="80" spans="2:14" ht="19.5" customHeight="1" x14ac:dyDescent="0.3">
      <c r="C80" s="655" t="s">
        <v>526</v>
      </c>
    </row>
    <row r="81" spans="3:7" ht="19.5" customHeight="1" x14ac:dyDescent="0.3">
      <c r="C81" s="655" t="s">
        <v>533</v>
      </c>
      <c r="G81" s="287">
        <f>+G79-G76</f>
        <v>7004812.7270668559</v>
      </c>
    </row>
    <row r="82" spans="3:7" ht="19.5" customHeight="1" x14ac:dyDescent="0.3">
      <c r="C82" s="655" t="s">
        <v>47</v>
      </c>
    </row>
    <row r="83" spans="3:7" ht="19.5" customHeight="1" x14ac:dyDescent="0.3">
      <c r="C83" s="655" t="s">
        <v>528</v>
      </c>
    </row>
  </sheetData>
  <mergeCells count="17">
    <mergeCell ref="B1:J1"/>
    <mergeCell ref="B2:J2"/>
    <mergeCell ref="B3:C3"/>
    <mergeCell ref="D3:I3"/>
    <mergeCell ref="B4:C4"/>
    <mergeCell ref="D4:F4"/>
    <mergeCell ref="B5:C5"/>
    <mergeCell ref="D5:F5"/>
    <mergeCell ref="C26:F26"/>
    <mergeCell ref="C45:F45"/>
    <mergeCell ref="C76:F76"/>
    <mergeCell ref="C54:F54"/>
    <mergeCell ref="C36:F36"/>
    <mergeCell ref="C63:F63"/>
    <mergeCell ref="C70:F70"/>
    <mergeCell ref="C73:F73"/>
    <mergeCell ref="C74:F74"/>
  </mergeCells>
  <printOptions horizontalCentered="1"/>
  <pageMargins left="0" right="0" top="0" bottom="0" header="0.16" footer="0.3"/>
  <pageSetup paperSize="9" scale="70"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T292"/>
  <sheetViews>
    <sheetView showGridLines="0" zoomScale="85" zoomScaleNormal="85" workbookViewId="0">
      <pane xSplit="22" ySplit="4" topLeftCell="X272" activePane="bottomRight" state="frozen"/>
      <selection pane="topRight" activeCell="W1" sqref="W1"/>
      <selection pane="bottomLeft" activeCell="A5" sqref="A5"/>
      <selection pane="bottomRight" activeCell="AE282" sqref="AE282:AE284"/>
    </sheetView>
  </sheetViews>
  <sheetFormatPr defaultColWidth="9.109375" defaultRowHeight="13.8" x14ac:dyDescent="0.3"/>
  <cols>
    <col min="1" max="1" width="0.33203125" style="28" customWidth="1"/>
    <col min="2" max="2" width="3.109375" style="86" bestFit="1" customWidth="1"/>
    <col min="3" max="3" width="22" style="28" bestFit="1" customWidth="1"/>
    <col min="4" max="4" width="5.44140625" style="86" customWidth="1"/>
    <col min="5" max="6" width="3.5546875" style="86" customWidth="1"/>
    <col min="7" max="7" width="8.6640625" style="86" bestFit="1" customWidth="1"/>
    <col min="8" max="8" width="5.5546875" style="86" customWidth="1"/>
    <col min="9" max="9" width="6.88671875" style="106" customWidth="1"/>
    <col min="10" max="10" width="6.6640625" style="106" customWidth="1"/>
    <col min="11" max="11" width="8.5546875" style="106" customWidth="1"/>
    <col min="12" max="12" width="8.88671875" style="106" customWidth="1"/>
    <col min="13" max="13" width="7.109375" style="106" customWidth="1"/>
    <col min="14" max="14" width="8.88671875" style="106" customWidth="1"/>
    <col min="15" max="15" width="9" style="106" customWidth="1"/>
    <col min="16" max="16" width="7.109375" style="88" customWidth="1"/>
    <col min="17" max="18" width="8.88671875" style="106" customWidth="1"/>
    <col min="19" max="19" width="9.5546875" style="106" customWidth="1"/>
    <col min="20" max="20" width="8.88671875" style="106" customWidth="1"/>
    <col min="21" max="21" width="5" style="86" customWidth="1"/>
    <col min="22" max="22" width="0.44140625" style="54" customWidth="1"/>
    <col min="23" max="23" width="7.6640625" style="88" customWidth="1"/>
    <col min="24" max="24" width="7.109375" style="88" customWidth="1"/>
    <col min="25" max="25" width="7.44140625" style="106" customWidth="1"/>
    <col min="26" max="26" width="7.44140625" style="88" customWidth="1"/>
    <col min="27" max="27" width="8.109375" style="88" customWidth="1"/>
    <col min="28" max="28" width="8.88671875" style="88" bestFit="1" customWidth="1"/>
    <col min="29" max="29" width="0.44140625" style="391" customWidth="1"/>
    <col min="30" max="30" width="7.109375" style="88" customWidth="1"/>
    <col min="31" max="31" width="6.88671875" style="88" customWidth="1"/>
    <col min="32" max="32" width="6.5546875" style="88" customWidth="1"/>
    <col min="33" max="33" width="0.44140625" style="391" customWidth="1"/>
    <col min="34" max="34" width="4.88671875" style="88" customWidth="1"/>
    <col min="35" max="35" width="7.44140625" style="88" customWidth="1"/>
    <col min="36" max="36" width="9.109375" style="28" customWidth="1"/>
    <col min="37" max="37" width="11.6640625" style="28" bestFit="1" customWidth="1"/>
    <col min="38" max="38" width="9.33203125" style="28" bestFit="1" customWidth="1"/>
    <col min="39" max="39" width="7.6640625" style="28" bestFit="1" customWidth="1"/>
    <col min="40" max="40" width="7.44140625" style="28" bestFit="1" customWidth="1"/>
    <col min="41" max="41" width="10.33203125" style="106" bestFit="1" customWidth="1"/>
    <col min="42" max="42" width="11.6640625" style="28" bestFit="1" customWidth="1"/>
    <col min="43" max="43" width="7.6640625" style="28" bestFit="1" customWidth="1"/>
    <col min="44" max="45" width="9.109375" style="28"/>
    <col min="46" max="46" width="10.6640625" style="28" bestFit="1" customWidth="1"/>
    <col min="47" max="16384" width="9.109375" style="28"/>
  </cols>
  <sheetData>
    <row r="1" spans="2:46" ht="7.5" customHeight="1" x14ac:dyDescent="0.3"/>
    <row r="2" spans="2:46" ht="20.100000000000001" customHeight="1" x14ac:dyDescent="0.3">
      <c r="B2" s="785" t="s">
        <v>433</v>
      </c>
      <c r="C2" s="785"/>
      <c r="D2" s="785"/>
      <c r="E2" s="785"/>
      <c r="F2" s="785"/>
      <c r="G2" s="785"/>
      <c r="H2" s="785"/>
      <c r="I2" s="785"/>
      <c r="J2" s="419"/>
      <c r="K2" s="420"/>
      <c r="L2" s="420"/>
      <c r="M2" s="420"/>
      <c r="N2" s="420"/>
      <c r="O2" s="420"/>
      <c r="P2" s="558"/>
      <c r="Q2" s="420"/>
      <c r="R2" s="420"/>
      <c r="S2" s="420"/>
      <c r="T2" s="420"/>
      <c r="U2" s="420"/>
    </row>
    <row r="3" spans="2:46" ht="33.75" customHeight="1" x14ac:dyDescent="0.3">
      <c r="B3" s="769" t="s">
        <v>0</v>
      </c>
      <c r="C3" s="769" t="s">
        <v>1</v>
      </c>
      <c r="D3" s="769" t="s">
        <v>2</v>
      </c>
      <c r="E3" s="769" t="s">
        <v>3</v>
      </c>
      <c r="F3" s="769"/>
      <c r="G3" s="769" t="s">
        <v>4</v>
      </c>
      <c r="H3" s="769" t="s">
        <v>5</v>
      </c>
      <c r="I3" s="770" t="s">
        <v>6</v>
      </c>
      <c r="J3" s="769" t="s">
        <v>7</v>
      </c>
      <c r="K3" s="769"/>
      <c r="L3" s="769"/>
      <c r="M3" s="770" t="s">
        <v>8</v>
      </c>
      <c r="N3" s="770"/>
      <c r="O3" s="770"/>
      <c r="P3" s="770" t="s">
        <v>9</v>
      </c>
      <c r="Q3" s="770"/>
      <c r="R3" s="770"/>
      <c r="S3" s="770" t="s">
        <v>10</v>
      </c>
      <c r="T3" s="770"/>
      <c r="U3" s="769" t="s">
        <v>11</v>
      </c>
      <c r="V3" s="26"/>
      <c r="W3" s="770" t="s">
        <v>12</v>
      </c>
      <c r="X3" s="770"/>
      <c r="Y3" s="770"/>
      <c r="Z3" s="770"/>
      <c r="AA3" s="770" t="s">
        <v>13</v>
      </c>
      <c r="AB3" s="770"/>
      <c r="AC3" s="27"/>
      <c r="AD3" s="770" t="s">
        <v>14</v>
      </c>
      <c r="AE3" s="770"/>
      <c r="AF3" s="770"/>
      <c r="AG3" s="27"/>
      <c r="AH3" s="770" t="s">
        <v>15</v>
      </c>
      <c r="AI3" s="770"/>
      <c r="AK3" s="771" t="s">
        <v>310</v>
      </c>
      <c r="AL3" s="771"/>
      <c r="AM3" s="771" t="s">
        <v>311</v>
      </c>
      <c r="AN3" s="771"/>
      <c r="AO3" s="355" t="s">
        <v>312</v>
      </c>
      <c r="AP3" s="771" t="s">
        <v>314</v>
      </c>
      <c r="AQ3" s="771"/>
    </row>
    <row r="4" spans="2:46" ht="20.25" customHeight="1" x14ac:dyDescent="0.3">
      <c r="B4" s="769"/>
      <c r="C4" s="769"/>
      <c r="D4" s="769"/>
      <c r="E4" s="769"/>
      <c r="F4" s="769"/>
      <c r="G4" s="769"/>
      <c r="H4" s="769"/>
      <c r="I4" s="770"/>
      <c r="J4" s="421" t="s">
        <v>16</v>
      </c>
      <c r="K4" s="312" t="s">
        <v>17</v>
      </c>
      <c r="L4" s="312" t="s">
        <v>18</v>
      </c>
      <c r="M4" s="312" t="s">
        <v>16</v>
      </c>
      <c r="N4" s="312" t="s">
        <v>17</v>
      </c>
      <c r="O4" s="312" t="s">
        <v>18</v>
      </c>
      <c r="P4" s="591" t="s">
        <v>16</v>
      </c>
      <c r="Q4" s="312" t="s">
        <v>17</v>
      </c>
      <c r="R4" s="312" t="s">
        <v>18</v>
      </c>
      <c r="S4" s="312" t="s">
        <v>17</v>
      </c>
      <c r="T4" s="312" t="s">
        <v>18</v>
      </c>
      <c r="U4" s="769"/>
      <c r="V4" s="26"/>
      <c r="W4" s="312" t="s">
        <v>4</v>
      </c>
      <c r="X4" s="312" t="s">
        <v>16</v>
      </c>
      <c r="Y4" s="312" t="s">
        <v>19</v>
      </c>
      <c r="Z4" s="312" t="s">
        <v>20</v>
      </c>
      <c r="AA4" s="312" t="s">
        <v>21</v>
      </c>
      <c r="AB4" s="312" t="s">
        <v>22</v>
      </c>
      <c r="AC4" s="27"/>
      <c r="AD4" s="312" t="s">
        <v>16</v>
      </c>
      <c r="AE4" s="312" t="s">
        <v>19</v>
      </c>
      <c r="AF4" s="312" t="s">
        <v>20</v>
      </c>
      <c r="AG4" s="27"/>
      <c r="AH4" s="312" t="s">
        <v>3</v>
      </c>
      <c r="AI4" s="312" t="s">
        <v>23</v>
      </c>
      <c r="AK4" s="355" t="s">
        <v>19</v>
      </c>
      <c r="AL4" s="355" t="s">
        <v>20</v>
      </c>
      <c r="AM4" s="355" t="s">
        <v>19</v>
      </c>
      <c r="AN4" s="355" t="s">
        <v>20</v>
      </c>
      <c r="AO4" s="355" t="s">
        <v>20</v>
      </c>
      <c r="AP4" s="355" t="s">
        <v>19</v>
      </c>
      <c r="AQ4" s="355" t="s">
        <v>20</v>
      </c>
    </row>
    <row r="5" spans="2:46" ht="20.100000000000001" customHeight="1" x14ac:dyDescent="0.3">
      <c r="B5" s="422">
        <v>1</v>
      </c>
      <c r="C5" s="436" t="s">
        <v>372</v>
      </c>
      <c r="D5" s="18"/>
      <c r="E5" s="18"/>
      <c r="F5" s="18"/>
      <c r="G5" s="18"/>
      <c r="H5" s="18"/>
      <c r="I5" s="21"/>
      <c r="J5" s="81"/>
      <c r="K5" s="103"/>
      <c r="L5" s="103"/>
      <c r="M5" s="81"/>
      <c r="N5" s="103"/>
      <c r="O5" s="103"/>
      <c r="P5" s="27"/>
      <c r="Q5" s="103"/>
      <c r="R5" s="103"/>
      <c r="S5" s="104"/>
      <c r="T5" s="104"/>
      <c r="U5" s="18"/>
      <c r="V5" s="26"/>
      <c r="W5" s="21"/>
      <c r="X5" s="21"/>
      <c r="Y5" s="21"/>
      <c r="Z5" s="21"/>
      <c r="AA5" s="21"/>
      <c r="AB5" s="21"/>
      <c r="AC5" s="27"/>
      <c r="AD5" s="225"/>
      <c r="AE5" s="225"/>
      <c r="AF5" s="225"/>
      <c r="AG5" s="27"/>
      <c r="AH5" s="423"/>
      <c r="AI5" s="225"/>
      <c r="AK5" s="301"/>
      <c r="AL5" s="301"/>
      <c r="AM5" s="301"/>
      <c r="AN5" s="301"/>
      <c r="AO5" s="299"/>
      <c r="AP5" s="301"/>
      <c r="AQ5" s="301"/>
    </row>
    <row r="6" spans="2:46" ht="20.100000000000001" customHeight="1" x14ac:dyDescent="0.3">
      <c r="B6" s="437"/>
      <c r="C6" s="97" t="s">
        <v>373</v>
      </c>
      <c r="D6" s="369"/>
      <c r="E6" s="369"/>
      <c r="F6" s="369"/>
      <c r="G6" s="369"/>
      <c r="H6" s="369"/>
      <c r="I6" s="374"/>
      <c r="J6" s="397"/>
      <c r="K6" s="398"/>
      <c r="L6" s="398"/>
      <c r="M6" s="397"/>
      <c r="N6" s="398"/>
      <c r="O6" s="398"/>
      <c r="P6" s="400"/>
      <c r="Q6" s="398"/>
      <c r="R6" s="398"/>
      <c r="S6" s="399"/>
      <c r="T6" s="399"/>
      <c r="U6" s="369"/>
      <c r="V6" s="373"/>
      <c r="W6" s="374"/>
      <c r="X6" s="374"/>
      <c r="Y6" s="374"/>
      <c r="Z6" s="374"/>
      <c r="AA6" s="374"/>
      <c r="AB6" s="374"/>
      <c r="AC6" s="400"/>
      <c r="AD6" s="378"/>
      <c r="AE6" s="378"/>
      <c r="AF6" s="378"/>
      <c r="AG6" s="400"/>
      <c r="AH6" s="438"/>
      <c r="AI6" s="378"/>
      <c r="AK6" s="378"/>
      <c r="AL6" s="378"/>
      <c r="AM6" s="378"/>
      <c r="AN6" s="378"/>
      <c r="AO6" s="374"/>
      <c r="AP6" s="378"/>
      <c r="AQ6" s="378"/>
    </row>
    <row r="7" spans="2:46" ht="19.5" customHeight="1" x14ac:dyDescent="0.3">
      <c r="B7" s="18"/>
      <c r="C7" s="62" t="s">
        <v>33</v>
      </c>
      <c r="D7" s="298">
        <v>0.66700000000000004</v>
      </c>
      <c r="E7" s="18">
        <v>1</v>
      </c>
      <c r="F7" s="18">
        <v>1</v>
      </c>
      <c r="G7" s="555">
        <f>(5.772+3.11)*3.281</f>
        <v>29.141842</v>
      </c>
      <c r="H7" s="20">
        <f t="shared" ref="H7" si="0">+D7</f>
        <v>0.66700000000000004</v>
      </c>
      <c r="I7" s="224">
        <v>2</v>
      </c>
      <c r="J7" s="81">
        <f>3</f>
        <v>3</v>
      </c>
      <c r="K7" s="103">
        <f t="shared" ref="K7" si="1">+IF(D7=0.667,E7*F7*G7*H7*J7,0)</f>
        <v>58.312825842000009</v>
      </c>
      <c r="L7" s="103">
        <f t="shared" ref="L7" si="2">+IF(D7=0.333,E7*F7*G7*J7,0)</f>
        <v>0</v>
      </c>
      <c r="M7" s="81">
        <v>4</v>
      </c>
      <c r="N7" s="103">
        <f t="shared" ref="N7" si="3">+IF(D7=0.667,E7*F7*G7*H7*M7,0)</f>
        <v>77.750434456000008</v>
      </c>
      <c r="O7" s="103">
        <f t="shared" ref="O7" si="4">+IF(D7=0.333,E7*F7*G7*M7,0)</f>
        <v>0</v>
      </c>
      <c r="P7" s="27">
        <f>11.833-I7-M7-J7</f>
        <v>2.8330000000000002</v>
      </c>
      <c r="Q7" s="103">
        <f t="shared" ref="Q7" si="5">+IF(D7=0.667,E7*F7*G7*H7*P7,0)</f>
        <v>55.066745203462013</v>
      </c>
      <c r="R7" s="103">
        <f t="shared" ref="R7" si="6">+IF(D7=0.333,E7*F7*G7*P7,0)</f>
        <v>0</v>
      </c>
      <c r="S7" s="104">
        <f t="shared" ref="S7:T7" si="7">+Q7+N7+K7</f>
        <v>191.13000550146205</v>
      </c>
      <c r="T7" s="104">
        <f t="shared" si="7"/>
        <v>0</v>
      </c>
      <c r="U7" s="18"/>
      <c r="V7" s="26"/>
      <c r="W7" s="21"/>
      <c r="X7" s="21"/>
      <c r="Y7" s="21"/>
      <c r="Z7" s="21"/>
      <c r="AA7" s="21"/>
      <c r="AB7" s="21"/>
      <c r="AC7" s="27"/>
      <c r="AD7" s="21"/>
      <c r="AE7" s="21"/>
      <c r="AF7" s="21"/>
      <c r="AG7" s="27"/>
      <c r="AH7" s="396">
        <v>1</v>
      </c>
      <c r="AI7" s="21">
        <f t="shared" ref="AI7" si="8">+AH7*G7*D7*0.17</f>
        <v>3.3043934643800004</v>
      </c>
      <c r="AK7" s="301">
        <f>+IF(D7=0.667,E7*F7*G7,0)</f>
        <v>29.141842</v>
      </c>
      <c r="AL7" s="301">
        <f>+IF(D7=0.333,E7*F7*G7,0)</f>
        <v>0</v>
      </c>
      <c r="AM7" s="450"/>
      <c r="AN7" s="301"/>
      <c r="AO7" s="299"/>
      <c r="AP7" s="301"/>
      <c r="AQ7" s="301"/>
      <c r="AT7" s="694">
        <f>+E7*F7*G7</f>
        <v>29.141842</v>
      </c>
    </row>
    <row r="8" spans="2:46" ht="20.100000000000001" customHeight="1" x14ac:dyDescent="0.3">
      <c r="B8" s="18"/>
      <c r="C8" s="62" t="s">
        <v>374</v>
      </c>
      <c r="D8" s="298">
        <v>0.66700000000000004</v>
      </c>
      <c r="E8" s="18">
        <v>-1</v>
      </c>
      <c r="F8" s="18">
        <v>1</v>
      </c>
      <c r="G8" s="556">
        <v>7</v>
      </c>
      <c r="H8" s="20">
        <f t="shared" ref="H8:H9" si="9">+D8</f>
        <v>0.66700000000000004</v>
      </c>
      <c r="I8" s="21"/>
      <c r="J8" s="81">
        <f>3</f>
        <v>3</v>
      </c>
      <c r="K8" s="103">
        <f t="shared" ref="K8:K9" si="10">+IF(D8=0.667,E8*F8*G8*H8*J8,0)</f>
        <v>-14.007000000000001</v>
      </c>
      <c r="L8" s="103">
        <f t="shared" ref="L8:L9" si="11">+IF(D8=0.333,E8*F8*G8*J8,0)</f>
        <v>0</v>
      </c>
      <c r="M8" s="81">
        <v>4</v>
      </c>
      <c r="N8" s="103">
        <f t="shared" ref="N8:N9" si="12">+IF(D8=0.667,E8*F8*G8*H8*M8,0)</f>
        <v>-18.676000000000002</v>
      </c>
      <c r="O8" s="103">
        <f t="shared" ref="O8:O9" si="13">+IF(D8=0.333,E8*F8*G8*M8,0)</f>
        <v>0</v>
      </c>
      <c r="P8" s="27">
        <v>1</v>
      </c>
      <c r="Q8" s="103">
        <f t="shared" ref="Q8:Q9" si="14">+IF(D8=0.667,E8*F8*G8*H8*P8,0)</f>
        <v>-4.6690000000000005</v>
      </c>
      <c r="R8" s="103">
        <f t="shared" ref="R8:R9" si="15">+IF(D8=0.333,E8*F8*G8*P8,0)</f>
        <v>0</v>
      </c>
      <c r="S8" s="104">
        <f t="shared" ref="S8:S9" si="16">+Q8+N8+K8</f>
        <v>-37.352000000000004</v>
      </c>
      <c r="T8" s="104">
        <f t="shared" ref="T8:T9" si="17">+R8+O8+L8</f>
        <v>0</v>
      </c>
      <c r="U8" s="18"/>
      <c r="V8" s="26"/>
      <c r="W8" s="21">
        <f>+G8+D8</f>
        <v>7.6669999999999998</v>
      </c>
      <c r="X8" s="21">
        <v>0.5</v>
      </c>
      <c r="Y8" s="21">
        <f>+IF(D8=0.667,-E8*F8*H8*W8*X8,0)</f>
        <v>2.5569445000000002</v>
      </c>
      <c r="Z8" s="21">
        <f>+IF(D8=0.333,-E8*F8*H8*W8*X8,0)</f>
        <v>0</v>
      </c>
      <c r="AA8" s="21">
        <f>+F8*G8*H8</f>
        <v>4.6690000000000005</v>
      </c>
      <c r="AB8" s="21">
        <f t="shared" ref="AB8:AB9" si="18">2*F8*W8*X8</f>
        <v>7.6669999999999998</v>
      </c>
      <c r="AC8" s="27"/>
      <c r="AD8" s="21">
        <v>0.16700000000000001</v>
      </c>
      <c r="AE8" s="21">
        <f t="shared" ref="AE8:AE9" si="19">+IF(D8=0.667,AD8*W8*H8*F8,0)</f>
        <v>0.85401946300000009</v>
      </c>
      <c r="AF8" s="21">
        <f t="shared" ref="AF8:AF9" si="20">+IF(D8=0.333,AD8*W8*H8*F8,0)</f>
        <v>0</v>
      </c>
      <c r="AG8" s="27"/>
      <c r="AH8" s="396"/>
      <c r="AI8" s="21">
        <f t="shared" ref="AI8:AI9" si="21">+AH8*G8*D8*0.17</f>
        <v>0</v>
      </c>
      <c r="AK8" s="301">
        <f t="shared" ref="AK8" si="22">+IF(D8=0.667,E8*F8*G8,0)</f>
        <v>-7</v>
      </c>
      <c r="AL8" s="301">
        <f t="shared" ref="AL8:AL11" si="23">+IF(D8=0.333,E8*F8*G8,0)</f>
        <v>0</v>
      </c>
      <c r="AM8" s="301"/>
      <c r="AN8" s="301">
        <f>+IF(D8=0.333,1,0)</f>
        <v>0</v>
      </c>
      <c r="AO8" s="299"/>
      <c r="AP8" s="301"/>
      <c r="AQ8" s="301"/>
      <c r="AT8" s="694">
        <f t="shared" ref="AT8:AT71" si="24">+E8*F8*G8</f>
        <v>-7</v>
      </c>
    </row>
    <row r="9" spans="2:46" ht="19.5" customHeight="1" x14ac:dyDescent="0.3">
      <c r="B9" s="18"/>
      <c r="C9" s="62" t="s">
        <v>31</v>
      </c>
      <c r="D9" s="298">
        <v>0.66700000000000004</v>
      </c>
      <c r="E9" s="18">
        <v>1</v>
      </c>
      <c r="F9" s="18">
        <v>1</v>
      </c>
      <c r="G9" s="556">
        <f>+(2.035)*3.281</f>
        <v>6.6768350000000005</v>
      </c>
      <c r="H9" s="20">
        <f t="shared" si="9"/>
        <v>0.66700000000000004</v>
      </c>
      <c r="I9" s="21">
        <v>2</v>
      </c>
      <c r="J9" s="81">
        <v>3</v>
      </c>
      <c r="K9" s="103">
        <f t="shared" si="10"/>
        <v>13.360346835000001</v>
      </c>
      <c r="L9" s="103">
        <f t="shared" si="11"/>
        <v>0</v>
      </c>
      <c r="M9" s="81">
        <v>4</v>
      </c>
      <c r="N9" s="103">
        <f t="shared" si="12"/>
        <v>17.813795780000003</v>
      </c>
      <c r="O9" s="103">
        <f t="shared" si="13"/>
        <v>0</v>
      </c>
      <c r="P9" s="27">
        <f>11.833-I9-M9-J9</f>
        <v>2.8330000000000002</v>
      </c>
      <c r="Q9" s="103">
        <f t="shared" si="14"/>
        <v>12.616620861185003</v>
      </c>
      <c r="R9" s="103">
        <f t="shared" si="15"/>
        <v>0</v>
      </c>
      <c r="S9" s="104">
        <f t="shared" si="16"/>
        <v>43.790763476185006</v>
      </c>
      <c r="T9" s="104">
        <f t="shared" si="17"/>
        <v>0</v>
      </c>
      <c r="U9" s="18"/>
      <c r="V9" s="26"/>
      <c r="W9" s="21"/>
      <c r="X9" s="21"/>
      <c r="Y9" s="21"/>
      <c r="Z9" s="21"/>
      <c r="AA9" s="21"/>
      <c r="AB9" s="21">
        <f t="shared" si="18"/>
        <v>0</v>
      </c>
      <c r="AC9" s="27"/>
      <c r="AD9" s="21"/>
      <c r="AE9" s="21">
        <f t="shared" si="19"/>
        <v>0</v>
      </c>
      <c r="AF9" s="21">
        <f t="shared" si="20"/>
        <v>0</v>
      </c>
      <c r="AG9" s="27"/>
      <c r="AH9" s="396">
        <v>1</v>
      </c>
      <c r="AI9" s="21">
        <f t="shared" si="21"/>
        <v>0.75708632065000014</v>
      </c>
      <c r="AK9" s="301">
        <f>+IF(D9=0.667,E9*F9*G9,0)</f>
        <v>6.6768350000000005</v>
      </c>
      <c r="AL9" s="301"/>
      <c r="AM9" s="301"/>
      <c r="AN9" s="301"/>
      <c r="AO9" s="299"/>
      <c r="AP9" s="301"/>
      <c r="AQ9" s="301"/>
      <c r="AT9" s="694">
        <f t="shared" si="24"/>
        <v>6.6768350000000005</v>
      </c>
    </row>
    <row r="10" spans="2:46" ht="19.5" customHeight="1" x14ac:dyDescent="0.3">
      <c r="B10" s="18"/>
      <c r="C10" s="62" t="s">
        <v>38</v>
      </c>
      <c r="D10" s="298">
        <v>0.66700000000000004</v>
      </c>
      <c r="E10" s="689">
        <f>1*0</f>
        <v>0</v>
      </c>
      <c r="F10" s="689">
        <f>1*0</f>
        <v>0</v>
      </c>
      <c r="G10" s="20">
        <f>+(5.073)*3.281</f>
        <v>16.644513000000003</v>
      </c>
      <c r="H10" s="20">
        <f t="shared" ref="H10" si="25">+D10</f>
        <v>0.66700000000000004</v>
      </c>
      <c r="I10" s="21">
        <v>2</v>
      </c>
      <c r="J10" s="81">
        <v>3</v>
      </c>
      <c r="K10" s="103">
        <f t="shared" ref="K10" si="26">+IF(D10=0.667,E10*F10*G10*H10*J10,0)</f>
        <v>0</v>
      </c>
      <c r="L10" s="103">
        <f t="shared" ref="L10" si="27">+IF(D10=0.333,E10*F10*G10*J10,0)</f>
        <v>0</v>
      </c>
      <c r="M10" s="81">
        <v>4</v>
      </c>
      <c r="N10" s="103">
        <f t="shared" ref="N10" si="28">+IF(D10=0.667,E10*F10*G10*H10*M10,0)</f>
        <v>0</v>
      </c>
      <c r="O10" s="103">
        <f t="shared" ref="O10" si="29">+IF(D10=0.333,E10*F10*G10*M10,0)</f>
        <v>0</v>
      </c>
      <c r="P10" s="27">
        <f>11.833-I10-M10-J10</f>
        <v>2.8330000000000002</v>
      </c>
      <c r="Q10" s="103">
        <f t="shared" ref="Q10" si="30">+IF(D10=0.667,E10*F10*G10*H10*P10,0)</f>
        <v>0</v>
      </c>
      <c r="R10" s="103">
        <f t="shared" ref="R10" si="31">+IF(D10=0.333,E10*F10*G10*P10,0)</f>
        <v>0</v>
      </c>
      <c r="S10" s="104">
        <f t="shared" ref="S10" si="32">+Q10+N10+K10</f>
        <v>0</v>
      </c>
      <c r="T10" s="104">
        <f t="shared" ref="T10" si="33">+R10+O10+L10</f>
        <v>0</v>
      </c>
      <c r="U10" s="18"/>
      <c r="V10" s="26"/>
      <c r="W10" s="21"/>
      <c r="X10" s="21"/>
      <c r="Y10" s="21"/>
      <c r="Z10" s="21"/>
      <c r="AA10" s="21"/>
      <c r="AB10" s="21">
        <f t="shared" ref="AB10" si="34">2*F10*W10*X10</f>
        <v>0</v>
      </c>
      <c r="AC10" s="27"/>
      <c r="AD10" s="21"/>
      <c r="AE10" s="21">
        <f t="shared" ref="AE10" si="35">+IF(D10=0.667,AD10*W10*H10*F10,0)</f>
        <v>0</v>
      </c>
      <c r="AF10" s="21">
        <f t="shared" ref="AF10" si="36">+IF(D10=0.333,AD10*W10*H10*F10,0)</f>
        <v>0</v>
      </c>
      <c r="AG10" s="27"/>
      <c r="AH10" s="396">
        <v>1</v>
      </c>
      <c r="AI10" s="21">
        <f t="shared" ref="AI10" si="37">+AH10*G10*D10*0.17</f>
        <v>1.8873213290700006</v>
      </c>
      <c r="AK10" s="301">
        <f>+IF(D10=0.667,E10*F10*G10,0)</f>
        <v>0</v>
      </c>
      <c r="AL10" s="301"/>
      <c r="AM10" s="301"/>
      <c r="AN10" s="301"/>
      <c r="AO10" s="299"/>
      <c r="AP10" s="301"/>
      <c r="AQ10" s="301"/>
      <c r="AT10" s="694">
        <f t="shared" si="24"/>
        <v>0</v>
      </c>
    </row>
    <row r="11" spans="2:46" ht="20.100000000000001" customHeight="1" x14ac:dyDescent="0.3">
      <c r="B11" s="18"/>
      <c r="C11" s="62" t="s">
        <v>355</v>
      </c>
      <c r="D11" s="298">
        <v>0.66700000000000004</v>
      </c>
      <c r="E11" s="689">
        <f>-1*0</f>
        <v>0</v>
      </c>
      <c r="F11" s="689">
        <f>1*0</f>
        <v>0</v>
      </c>
      <c r="G11" s="20">
        <f>+(5.073)*3.281</f>
        <v>16.644513000000003</v>
      </c>
      <c r="H11" s="20">
        <f t="shared" ref="H11" si="38">+D11</f>
        <v>0.66700000000000004</v>
      </c>
      <c r="I11" s="21">
        <v>2</v>
      </c>
      <c r="J11" s="81">
        <v>3</v>
      </c>
      <c r="K11" s="103">
        <f t="shared" ref="K11" si="39">+IF(D11=0.667,E11*F11*G11*H11*J11,0)</f>
        <v>0</v>
      </c>
      <c r="L11" s="103">
        <f t="shared" ref="L11" si="40">+IF(D11=0.333,E11*F11*G11*J11,0)</f>
        <v>0</v>
      </c>
      <c r="M11" s="81">
        <v>4</v>
      </c>
      <c r="N11" s="103">
        <f t="shared" ref="N11" si="41">+IF(D11=0.667,E11*F11*G11*H11*M11,0)</f>
        <v>0</v>
      </c>
      <c r="O11" s="103">
        <f t="shared" ref="O11" si="42">+IF(D11=0.333,E11*F11*G11*M11,0)</f>
        <v>0</v>
      </c>
      <c r="P11" s="27">
        <f>11.833-I11-M11-J11</f>
        <v>2.8330000000000002</v>
      </c>
      <c r="Q11" s="103">
        <f t="shared" ref="Q11" si="43">+IF(D11=0.667,E11*F11*G11*H11*P11,0)</f>
        <v>0</v>
      </c>
      <c r="R11" s="103">
        <f t="shared" ref="R11" si="44">+IF(D11=0.333,E11*F11*G11*P11,0)</f>
        <v>0</v>
      </c>
      <c r="S11" s="104">
        <f t="shared" ref="S11" si="45">+Q11+N11+K11</f>
        <v>0</v>
      </c>
      <c r="T11" s="104">
        <f t="shared" ref="T11" si="46">+R11+O11+L11</f>
        <v>0</v>
      </c>
      <c r="U11" s="18"/>
      <c r="V11" s="26"/>
      <c r="W11" s="21">
        <f>+G11+D11</f>
        <v>17.311513000000005</v>
      </c>
      <c r="X11" s="21">
        <v>0.5</v>
      </c>
      <c r="Y11" s="21">
        <f>+IF(D11=0.667,-E11*F11*H11*W11*X11,0)</f>
        <v>0</v>
      </c>
      <c r="Z11" s="21">
        <f>+IF(D11=0.333,-E11*F11*H11*W11*X11,0)</f>
        <v>0</v>
      </c>
      <c r="AA11" s="21">
        <f>+F11*G11*H11</f>
        <v>0</v>
      </c>
      <c r="AB11" s="21">
        <f t="shared" ref="AB11" si="47">2*F11*W11*X11</f>
        <v>0</v>
      </c>
      <c r="AC11" s="27"/>
      <c r="AD11" s="21">
        <v>0.16700000000000001</v>
      </c>
      <c r="AE11" s="21">
        <f t="shared" ref="AE11" si="48">+IF(D11=0.667,AD11*W11*H11*F11,0)</f>
        <v>0</v>
      </c>
      <c r="AF11" s="21">
        <f t="shared" ref="AF11" si="49">+IF(D11=0.333,AD11*W11*H11*F11,0)</f>
        <v>0</v>
      </c>
      <c r="AG11" s="27"/>
      <c r="AH11" s="396"/>
      <c r="AI11" s="21">
        <f t="shared" ref="AI11" si="50">+AH11*G11*D11*0.17</f>
        <v>0</v>
      </c>
      <c r="AK11" s="301"/>
      <c r="AL11" s="301">
        <f t="shared" si="23"/>
        <v>0</v>
      </c>
      <c r="AM11" s="301"/>
      <c r="AN11" s="301"/>
      <c r="AO11" s="299"/>
      <c r="AP11" s="301"/>
      <c r="AQ11" s="301"/>
      <c r="AT11" s="694">
        <f t="shared" si="24"/>
        <v>0</v>
      </c>
    </row>
    <row r="12" spans="2:46" ht="20.100000000000001" customHeight="1" x14ac:dyDescent="0.3">
      <c r="B12" s="369"/>
      <c r="C12" s="370"/>
      <c r="D12" s="371"/>
      <c r="E12" s="369"/>
      <c r="F12" s="369"/>
      <c r="G12" s="371"/>
      <c r="H12" s="371"/>
      <c r="I12" s="374"/>
      <c r="J12" s="397"/>
      <c r="K12" s="398"/>
      <c r="L12" s="398"/>
      <c r="M12" s="397"/>
      <c r="N12" s="398"/>
      <c r="O12" s="398"/>
      <c r="P12" s="400"/>
      <c r="Q12" s="398"/>
      <c r="R12" s="398"/>
      <c r="S12" s="399"/>
      <c r="T12" s="399"/>
      <c r="U12" s="369"/>
      <c r="V12" s="373"/>
      <c r="W12" s="374"/>
      <c r="X12" s="374"/>
      <c r="Y12" s="374"/>
      <c r="Z12" s="374"/>
      <c r="AA12" s="374"/>
      <c r="AB12" s="374"/>
      <c r="AC12" s="400"/>
      <c r="AD12" s="374"/>
      <c r="AE12" s="374"/>
      <c r="AF12" s="374"/>
      <c r="AG12" s="400"/>
      <c r="AH12" s="401"/>
      <c r="AI12" s="374"/>
      <c r="AK12" s="378"/>
      <c r="AL12" s="378"/>
      <c r="AM12" s="378"/>
      <c r="AN12" s="378"/>
      <c r="AO12" s="374"/>
      <c r="AP12" s="378"/>
      <c r="AQ12" s="378"/>
      <c r="AT12" s="694">
        <f t="shared" si="24"/>
        <v>0</v>
      </c>
    </row>
    <row r="13" spans="2:46" ht="20.100000000000001" customHeight="1" x14ac:dyDescent="0.3">
      <c r="B13" s="437"/>
      <c r="C13" s="97" t="s">
        <v>379</v>
      </c>
      <c r="D13" s="369"/>
      <c r="E13" s="369"/>
      <c r="F13" s="369"/>
      <c r="G13" s="369"/>
      <c r="H13" s="369"/>
      <c r="I13" s="374"/>
      <c r="J13" s="397"/>
      <c r="K13" s="398"/>
      <c r="L13" s="398"/>
      <c r="M13" s="397"/>
      <c r="N13" s="398"/>
      <c r="O13" s="398"/>
      <c r="P13" s="400"/>
      <c r="Q13" s="398"/>
      <c r="R13" s="398"/>
      <c r="S13" s="399"/>
      <c r="T13" s="399"/>
      <c r="U13" s="369"/>
      <c r="V13" s="373"/>
      <c r="W13" s="374"/>
      <c r="X13" s="374"/>
      <c r="Y13" s="374"/>
      <c r="Z13" s="374"/>
      <c r="AA13" s="374"/>
      <c r="AB13" s="374"/>
      <c r="AC13" s="400"/>
      <c r="AD13" s="378"/>
      <c r="AE13" s="378"/>
      <c r="AF13" s="378"/>
      <c r="AG13" s="400"/>
      <c r="AH13" s="438"/>
      <c r="AI13" s="378"/>
      <c r="AK13" s="378"/>
      <c r="AL13" s="378"/>
      <c r="AM13" s="378"/>
      <c r="AN13" s="378"/>
      <c r="AO13" s="374"/>
      <c r="AP13" s="378"/>
      <c r="AQ13" s="378"/>
      <c r="AT13" s="694">
        <f t="shared" si="24"/>
        <v>0</v>
      </c>
    </row>
    <row r="14" spans="2:46" ht="19.5" customHeight="1" x14ac:dyDescent="0.3">
      <c r="B14" s="18"/>
      <c r="C14" s="62" t="s">
        <v>31</v>
      </c>
      <c r="D14" s="298">
        <v>0.66700000000000004</v>
      </c>
      <c r="E14" s="18">
        <v>1</v>
      </c>
      <c r="F14" s="18">
        <v>1</v>
      </c>
      <c r="G14" s="556">
        <f>+(2.55+1.02)*3.281</f>
        <v>11.71317</v>
      </c>
      <c r="H14" s="20">
        <f t="shared" ref="H14" si="51">+D14</f>
        <v>0.66700000000000004</v>
      </c>
      <c r="I14" s="224">
        <v>2</v>
      </c>
      <c r="J14" s="81">
        <f>3</f>
        <v>3</v>
      </c>
      <c r="K14" s="103">
        <f t="shared" ref="K14" si="52">+IF(D14=0.667,E14*F14*G14*H14*J14,0)</f>
        <v>23.43805317</v>
      </c>
      <c r="L14" s="103">
        <f t="shared" ref="L14" si="53">+IF(D14=0.333,E14*F14*G14*J14,0)</f>
        <v>0</v>
      </c>
      <c r="M14" s="81">
        <v>4</v>
      </c>
      <c r="N14" s="103">
        <f t="shared" ref="N14" si="54">+IF(D14=0.667,E14*F14*G14*H14*M14,0)</f>
        <v>31.250737560000001</v>
      </c>
      <c r="O14" s="103">
        <f t="shared" ref="O14" si="55">+IF(D14=0.333,E14*F14*G14*M14,0)</f>
        <v>0</v>
      </c>
      <c r="P14" s="27">
        <f>11.833-I14-M14-J14</f>
        <v>2.8330000000000002</v>
      </c>
      <c r="Q14" s="103">
        <f t="shared" ref="Q14" si="56">+IF(D14=0.667,E14*F14*G14*H14*P14,0)</f>
        <v>22.133334876870002</v>
      </c>
      <c r="R14" s="103">
        <f t="shared" ref="R14" si="57">+IF(D14=0.333,E14*F14*G14*P14,0)</f>
        <v>0</v>
      </c>
      <c r="S14" s="104">
        <f t="shared" ref="S14" si="58">+Q14+N14+K14</f>
        <v>76.822125606870003</v>
      </c>
      <c r="T14" s="104">
        <f t="shared" ref="T14" si="59">+R14+O14+L14</f>
        <v>0</v>
      </c>
      <c r="U14" s="18"/>
      <c r="V14" s="26"/>
      <c r="W14" s="21"/>
      <c r="X14" s="21"/>
      <c r="Y14" s="21"/>
      <c r="Z14" s="21"/>
      <c r="AA14" s="21"/>
      <c r="AB14" s="21"/>
      <c r="AC14" s="27"/>
      <c r="AD14" s="21"/>
      <c r="AE14" s="21"/>
      <c r="AF14" s="21"/>
      <c r="AG14" s="27"/>
      <c r="AH14" s="396">
        <v>1</v>
      </c>
      <c r="AI14" s="21">
        <f t="shared" ref="AI14" si="60">+AH14*G14*D14*0.17</f>
        <v>1.3281563463000001</v>
      </c>
      <c r="AK14" s="301">
        <f>+IF(D14=0.667,E14*F14*G14,0)</f>
        <v>11.71317</v>
      </c>
      <c r="AL14" s="301">
        <f>+IF(D14=0.333,E14*F14*G14,0)</f>
        <v>0</v>
      </c>
      <c r="AM14" s="301"/>
      <c r="AN14" s="301"/>
      <c r="AO14" s="299"/>
      <c r="AP14" s="301"/>
      <c r="AQ14" s="301"/>
      <c r="AT14" s="694">
        <f t="shared" si="24"/>
        <v>11.71317</v>
      </c>
    </row>
    <row r="15" spans="2:46" ht="19.5" customHeight="1" x14ac:dyDescent="0.3">
      <c r="B15" s="18"/>
      <c r="C15" s="62" t="s">
        <v>32</v>
      </c>
      <c r="D15" s="298">
        <v>0.66700000000000004</v>
      </c>
      <c r="E15" s="18">
        <v>1</v>
      </c>
      <c r="F15" s="18">
        <v>1</v>
      </c>
      <c r="G15" s="556">
        <f>+(2.912)*3.281</f>
        <v>9.554272000000001</v>
      </c>
      <c r="H15" s="20">
        <f t="shared" ref="H15" si="61">+D15</f>
        <v>0.66700000000000004</v>
      </c>
      <c r="I15" s="224">
        <v>2</v>
      </c>
      <c r="J15" s="81">
        <f>3</f>
        <v>3</v>
      </c>
      <c r="K15" s="103">
        <f t="shared" ref="K15" si="62">+IF(D15=0.667,E15*F15*G15*H15*J15,0)</f>
        <v>19.118098272000005</v>
      </c>
      <c r="L15" s="103">
        <f t="shared" ref="L15" si="63">+IF(D15=0.333,E15*F15*G15*J15,0)</f>
        <v>0</v>
      </c>
      <c r="M15" s="81">
        <v>4</v>
      </c>
      <c r="N15" s="103">
        <f t="shared" ref="N15" si="64">+IF(D15=0.667,E15*F15*G15*H15*M15,0)</f>
        <v>25.490797696000005</v>
      </c>
      <c r="O15" s="103">
        <f t="shared" ref="O15" si="65">+IF(D15=0.333,E15*F15*G15*M15,0)</f>
        <v>0</v>
      </c>
      <c r="P15" s="27">
        <f>11.833-I15-M15-J15</f>
        <v>2.8330000000000002</v>
      </c>
      <c r="Q15" s="103">
        <f t="shared" ref="Q15" si="66">+IF(D15=0.667,E15*F15*G15*H15*P15,0)</f>
        <v>18.053857468192003</v>
      </c>
      <c r="R15" s="103">
        <f t="shared" ref="R15" si="67">+IF(D15=0.333,E15*F15*G15*P15,0)</f>
        <v>0</v>
      </c>
      <c r="S15" s="104">
        <f t="shared" ref="S15" si="68">+Q15+N15+K15</f>
        <v>62.662753436192013</v>
      </c>
      <c r="T15" s="104">
        <f t="shared" ref="T15" si="69">+R15+O15+L15</f>
        <v>0</v>
      </c>
      <c r="U15" s="18"/>
      <c r="V15" s="26"/>
      <c r="W15" s="21"/>
      <c r="X15" s="21"/>
      <c r="Y15" s="21"/>
      <c r="Z15" s="21"/>
      <c r="AA15" s="21"/>
      <c r="AB15" s="21"/>
      <c r="AC15" s="27"/>
      <c r="AD15" s="21"/>
      <c r="AE15" s="21"/>
      <c r="AF15" s="21"/>
      <c r="AG15" s="27"/>
      <c r="AH15" s="396">
        <v>1</v>
      </c>
      <c r="AI15" s="21">
        <f t="shared" ref="AI15" si="70">+AH15*G15*D15*0.17</f>
        <v>1.0833589020800003</v>
      </c>
      <c r="AK15" s="301">
        <f>+IF(D15=0.667,E15*F15*G15,0)</f>
        <v>9.554272000000001</v>
      </c>
      <c r="AL15" s="301">
        <f>+IF(D15=0.333,E15*F15*G15,0)</f>
        <v>0</v>
      </c>
      <c r="AM15" s="301"/>
      <c r="AN15" s="301"/>
      <c r="AO15" s="299"/>
      <c r="AP15" s="301"/>
      <c r="AQ15" s="301"/>
      <c r="AT15" s="694">
        <f t="shared" si="24"/>
        <v>9.554272000000001</v>
      </c>
    </row>
    <row r="16" spans="2:46" ht="20.100000000000001" customHeight="1" x14ac:dyDescent="0.3">
      <c r="B16" s="369"/>
      <c r="C16" s="370"/>
      <c r="D16" s="371"/>
      <c r="E16" s="369"/>
      <c r="F16" s="369"/>
      <c r="G16" s="371"/>
      <c r="H16" s="371"/>
      <c r="I16" s="374"/>
      <c r="J16" s="397"/>
      <c r="K16" s="398"/>
      <c r="L16" s="398"/>
      <c r="M16" s="397"/>
      <c r="N16" s="398"/>
      <c r="O16" s="398"/>
      <c r="P16" s="400"/>
      <c r="Q16" s="398"/>
      <c r="R16" s="398"/>
      <c r="S16" s="399"/>
      <c r="T16" s="399"/>
      <c r="U16" s="369"/>
      <c r="V16" s="373"/>
      <c r="W16" s="374"/>
      <c r="X16" s="374"/>
      <c r="Y16" s="374"/>
      <c r="Z16" s="374"/>
      <c r="AA16" s="374"/>
      <c r="AB16" s="374"/>
      <c r="AC16" s="400"/>
      <c r="AD16" s="374"/>
      <c r="AE16" s="374"/>
      <c r="AF16" s="374"/>
      <c r="AG16" s="400"/>
      <c r="AH16" s="401"/>
      <c r="AI16" s="374"/>
      <c r="AK16" s="378"/>
      <c r="AL16" s="378"/>
      <c r="AM16" s="378"/>
      <c r="AN16" s="378"/>
      <c r="AO16" s="374"/>
      <c r="AP16" s="378"/>
      <c r="AQ16" s="378"/>
      <c r="AT16" s="694">
        <f t="shared" si="24"/>
        <v>0</v>
      </c>
    </row>
    <row r="17" spans="2:46" ht="20.100000000000001" customHeight="1" x14ac:dyDescent="0.3">
      <c r="B17" s="92"/>
      <c r="C17" s="97" t="s">
        <v>380</v>
      </c>
      <c r="D17" s="98"/>
      <c r="E17" s="92"/>
      <c r="F17" s="92"/>
      <c r="G17" s="98"/>
      <c r="H17" s="98"/>
      <c r="I17" s="94"/>
      <c r="J17" s="92"/>
      <c r="K17" s="92"/>
      <c r="L17" s="92"/>
      <c r="M17" s="92"/>
      <c r="N17" s="92"/>
      <c r="O17" s="92"/>
      <c r="P17" s="95"/>
      <c r="Q17" s="92"/>
      <c r="R17" s="92"/>
      <c r="S17" s="92"/>
      <c r="T17" s="92"/>
      <c r="U17" s="92"/>
      <c r="V17" s="91"/>
      <c r="W17" s="102"/>
      <c r="X17" s="98"/>
      <c r="Y17" s="102"/>
      <c r="Z17" s="98"/>
      <c r="AA17" s="98"/>
      <c r="AB17" s="98"/>
      <c r="AC17" s="91"/>
      <c r="AD17" s="98"/>
      <c r="AE17" s="98"/>
      <c r="AF17" s="98"/>
      <c r="AG17" s="91"/>
      <c r="AH17" s="305"/>
      <c r="AI17" s="299"/>
      <c r="AK17" s="301">
        <f t="shared" ref="AK17:AK21" si="71">+IF(D17=0.667,E17*F17*G17,0)</f>
        <v>0</v>
      </c>
      <c r="AL17" s="301">
        <f t="shared" ref="AL17:AL21" si="72">+IF(D17=0.333,E17*F17*G17,0)</f>
        <v>0</v>
      </c>
      <c r="AM17" s="301"/>
      <c r="AN17" s="301">
        <f>+IF(D17=0.333,1.33,0)</f>
        <v>0</v>
      </c>
      <c r="AO17" s="299"/>
      <c r="AP17" s="301"/>
      <c r="AQ17" s="301"/>
      <c r="AT17" s="694">
        <f t="shared" si="24"/>
        <v>0</v>
      </c>
    </row>
    <row r="18" spans="2:46" ht="20.100000000000001" customHeight="1" x14ac:dyDescent="0.3">
      <c r="B18" s="92"/>
      <c r="C18" s="95" t="s">
        <v>33</v>
      </c>
      <c r="D18" s="98">
        <v>0.66700000000000004</v>
      </c>
      <c r="E18" s="92">
        <v>1</v>
      </c>
      <c r="F18" s="92">
        <v>1</v>
      </c>
      <c r="G18" s="555">
        <f>+(2.135*3.281)</f>
        <v>7.0049349999999997</v>
      </c>
      <c r="H18" s="98">
        <f>+D18</f>
        <v>0.66700000000000004</v>
      </c>
      <c r="I18" s="94">
        <v>2</v>
      </c>
      <c r="J18" s="99">
        <v>3</v>
      </c>
      <c r="K18" s="100">
        <f>+IF(D18=0.667,E18*F18*G18*H18*J18,0)</f>
        <v>14.016874935000001</v>
      </c>
      <c r="L18" s="100">
        <f>+IF(D18=0.333,E18*F18*G18*J18,0)</f>
        <v>0</v>
      </c>
      <c r="M18" s="99">
        <v>4</v>
      </c>
      <c r="N18" s="100">
        <f>+IF(D18=0.667,E18*F18*G18*H18*M18,0)</f>
        <v>18.689166580000002</v>
      </c>
      <c r="O18" s="100">
        <f>+IF(D18=0.333,E18*F18*G18*M18,0)</f>
        <v>0</v>
      </c>
      <c r="P18" s="27">
        <f>11.833-I18-M18-J18</f>
        <v>2.8330000000000002</v>
      </c>
      <c r="Q18" s="100">
        <f>+IF(D18=0.667,E18*F18*G18*H18*P18,0)</f>
        <v>13.236602230285003</v>
      </c>
      <c r="R18" s="100">
        <f>+IF(D18=0.333,E18*F18*G18*P18,0)</f>
        <v>0</v>
      </c>
      <c r="S18" s="101">
        <f t="shared" ref="S18:T21" si="73">+Q18+N18+K18</f>
        <v>45.942643745285011</v>
      </c>
      <c r="T18" s="101">
        <f t="shared" si="73"/>
        <v>0</v>
      </c>
      <c r="U18" s="92"/>
      <c r="V18" s="91"/>
      <c r="W18" s="102"/>
      <c r="X18" s="98"/>
      <c r="Y18" s="102"/>
      <c r="Z18" s="98"/>
      <c r="AA18" s="98"/>
      <c r="AB18" s="98"/>
      <c r="AC18" s="91"/>
      <c r="AD18" s="98"/>
      <c r="AE18" s="98"/>
      <c r="AF18" s="98"/>
      <c r="AG18" s="91"/>
      <c r="AH18" s="305">
        <v>1</v>
      </c>
      <c r="AI18" s="299">
        <f>+AH18*G18*D18*0.17</f>
        <v>0.79428957965000013</v>
      </c>
      <c r="AK18" s="301">
        <f t="shared" si="71"/>
        <v>7.0049349999999997</v>
      </c>
      <c r="AL18" s="301">
        <f t="shared" si="72"/>
        <v>0</v>
      </c>
      <c r="AM18" s="301"/>
      <c r="AN18" s="301">
        <f>+IF(D18=0.333,1.33,0)</f>
        <v>0</v>
      </c>
      <c r="AO18" s="299"/>
      <c r="AP18" s="301">
        <f>+S18</f>
        <v>45.942643745285011</v>
      </c>
      <c r="AQ18" s="301"/>
      <c r="AT18" s="694">
        <f t="shared" si="24"/>
        <v>7.0049349999999997</v>
      </c>
    </row>
    <row r="19" spans="2:46" ht="20.100000000000001" customHeight="1" x14ac:dyDescent="0.3">
      <c r="B19" s="18"/>
      <c r="C19" s="62" t="s">
        <v>130</v>
      </c>
      <c r="D19" s="98">
        <v>0.66700000000000004</v>
      </c>
      <c r="E19" s="18">
        <v>-1</v>
      </c>
      <c r="F19" s="18">
        <v>1</v>
      </c>
      <c r="G19" s="556">
        <v>3</v>
      </c>
      <c r="H19" s="20">
        <f t="shared" ref="H19" si="74">+D19</f>
        <v>0.66700000000000004</v>
      </c>
      <c r="I19" s="21"/>
      <c r="J19" s="22">
        <v>3</v>
      </c>
      <c r="K19" s="103">
        <f t="shared" ref="K19" si="75">+IF(D19=0.667,E19*F19*G19*H19*J19,0)</f>
        <v>-6.003000000000001</v>
      </c>
      <c r="L19" s="103">
        <f t="shared" ref="L19" si="76">+IF(D19=0.333,E19*F19*G19*J19,0)</f>
        <v>0</v>
      </c>
      <c r="M19" s="81">
        <v>4</v>
      </c>
      <c r="N19" s="103">
        <f t="shared" ref="N19" si="77">+IF(D19=0.667,E19*F19*G19*H19*M19,0)</f>
        <v>-8.0040000000000013</v>
      </c>
      <c r="O19" s="103">
        <f t="shared" ref="O19" si="78">+IF(D19=0.333,E19*F19*G19*M19,0)</f>
        <v>0</v>
      </c>
      <c r="P19" s="27"/>
      <c r="Q19" s="103">
        <f t="shared" ref="Q19" si="79">+IF(D19=0.667,E19*F19*G19*H19*P19,0)</f>
        <v>0</v>
      </c>
      <c r="R19" s="103">
        <f t="shared" ref="R19" si="80">+IF(D19=0.333,E19*F19*G19*P19,0)</f>
        <v>0</v>
      </c>
      <c r="S19" s="104">
        <f t="shared" si="73"/>
        <v>-14.007000000000001</v>
      </c>
      <c r="T19" s="104">
        <f t="shared" si="73"/>
        <v>0</v>
      </c>
      <c r="U19" s="18"/>
      <c r="V19" s="26"/>
      <c r="W19" s="21">
        <f>+G19+D19</f>
        <v>3.6669999999999998</v>
      </c>
      <c r="X19" s="21">
        <v>0.5</v>
      </c>
      <c r="Y19" s="21">
        <f>+IF(D19=0.667,-E19*F19*H19*W19*X19,0)</f>
        <v>1.2229445000000001</v>
      </c>
      <c r="Z19" s="21">
        <f>+IF(D19=0.333,-E19*F19*H19*W19*X19,0)</f>
        <v>0</v>
      </c>
      <c r="AA19" s="21">
        <f>+F19*G19*H19</f>
        <v>2.0010000000000003</v>
      </c>
      <c r="AB19" s="21">
        <f t="shared" ref="AB19" si="81">2*F19*W19*X19</f>
        <v>3.6669999999999998</v>
      </c>
      <c r="AC19" s="27"/>
      <c r="AD19" s="21"/>
      <c r="AE19" s="21"/>
      <c r="AF19" s="21"/>
      <c r="AG19" s="27"/>
      <c r="AH19" s="306"/>
      <c r="AI19" s="299"/>
      <c r="AK19" s="301">
        <f t="shared" si="71"/>
        <v>-3</v>
      </c>
      <c r="AL19" s="301">
        <f t="shared" si="72"/>
        <v>0</v>
      </c>
      <c r="AM19" s="301"/>
      <c r="AN19" s="301"/>
      <c r="AO19" s="299"/>
      <c r="AP19" s="301">
        <f t="shared" ref="AP19:AP21" si="82">+S19</f>
        <v>-14.007000000000001</v>
      </c>
      <c r="AQ19" s="301"/>
      <c r="AT19" s="694">
        <f t="shared" si="24"/>
        <v>-3</v>
      </c>
    </row>
    <row r="20" spans="2:46" ht="20.100000000000001" customHeight="1" x14ac:dyDescent="0.3">
      <c r="B20" s="92"/>
      <c r="C20" s="95" t="s">
        <v>31</v>
      </c>
      <c r="D20" s="98">
        <v>0.66700000000000004</v>
      </c>
      <c r="E20" s="92">
        <v>1</v>
      </c>
      <c r="F20" s="92">
        <v>1</v>
      </c>
      <c r="G20" s="555">
        <f>(3.52)*3.281</f>
        <v>11.54912</v>
      </c>
      <c r="H20" s="98">
        <f>+D20</f>
        <v>0.66700000000000004</v>
      </c>
      <c r="I20" s="94">
        <v>2</v>
      </c>
      <c r="J20" s="99">
        <v>3</v>
      </c>
      <c r="K20" s="100">
        <f>+IF(D20=0.667,E20*F20*G20*H20*J20,0)</f>
        <v>23.109789120000002</v>
      </c>
      <c r="L20" s="100">
        <f>+IF(D20=0.333,E20*F20*G20*J20,0)</f>
        <v>0</v>
      </c>
      <c r="M20" s="99">
        <v>4</v>
      </c>
      <c r="N20" s="100">
        <f>+IF(D20=0.667,E20*F20*G20*H20*M20,0)</f>
        <v>30.813052160000002</v>
      </c>
      <c r="O20" s="100">
        <f>+IF(D20=0.333,E20*F20*G20*M20,0)</f>
        <v>0</v>
      </c>
      <c r="P20" s="27">
        <f>11.833-I20-M20-J20</f>
        <v>2.8330000000000002</v>
      </c>
      <c r="Q20" s="100">
        <f>+IF(D20=0.667,E20*F20*G20*H20*P20,0)</f>
        <v>21.823344192320004</v>
      </c>
      <c r="R20" s="100">
        <f>+IF(D20=0.333,E20*F20*G20*P20,0)</f>
        <v>0</v>
      </c>
      <c r="S20" s="101">
        <f t="shared" si="73"/>
        <v>75.746185472320008</v>
      </c>
      <c r="T20" s="101">
        <f t="shared" si="73"/>
        <v>0</v>
      </c>
      <c r="U20" s="92"/>
      <c r="V20" s="91"/>
      <c r="W20" s="102"/>
      <c r="X20" s="98"/>
      <c r="Y20" s="102"/>
      <c r="Z20" s="98"/>
      <c r="AA20" s="98"/>
      <c r="AB20" s="98"/>
      <c r="AC20" s="91"/>
      <c r="AD20" s="98"/>
      <c r="AE20" s="98"/>
      <c r="AF20" s="98"/>
      <c r="AG20" s="91"/>
      <c r="AH20" s="304">
        <v>1</v>
      </c>
      <c r="AI20" s="299">
        <f>+AH20*G20*D20*0.17</f>
        <v>1.3095547168000001</v>
      </c>
      <c r="AK20" s="301">
        <f t="shared" si="71"/>
        <v>11.54912</v>
      </c>
      <c r="AL20" s="301">
        <f t="shared" si="72"/>
        <v>0</v>
      </c>
      <c r="AM20" s="301"/>
      <c r="AN20" s="301"/>
      <c r="AO20" s="299"/>
      <c r="AP20" s="301">
        <f t="shared" si="82"/>
        <v>75.746185472320008</v>
      </c>
      <c r="AQ20" s="301"/>
      <c r="AT20" s="694">
        <f t="shared" si="24"/>
        <v>11.54912</v>
      </c>
    </row>
    <row r="21" spans="2:46" ht="20.100000000000001" customHeight="1" x14ac:dyDescent="0.3">
      <c r="B21" s="92"/>
      <c r="C21" s="95" t="s">
        <v>32</v>
      </c>
      <c r="D21" s="98">
        <v>0.66700000000000004</v>
      </c>
      <c r="E21" s="92">
        <v>1</v>
      </c>
      <c r="F21" s="92">
        <v>1</v>
      </c>
      <c r="G21" s="555">
        <f>(2.135)*3.281</f>
        <v>7.0049349999999997</v>
      </c>
      <c r="H21" s="98">
        <f>+D21</f>
        <v>0.66700000000000004</v>
      </c>
      <c r="I21" s="94">
        <v>2</v>
      </c>
      <c r="J21" s="99">
        <v>3</v>
      </c>
      <c r="K21" s="100">
        <f>+IF(D21=0.667,E21*F21*G21*H21*J21,0)</f>
        <v>14.016874935000001</v>
      </c>
      <c r="L21" s="100">
        <f>+IF(D21=0.333,E21*F21*G21*J21,0)</f>
        <v>0</v>
      </c>
      <c r="M21" s="99">
        <v>4</v>
      </c>
      <c r="N21" s="100">
        <f>+IF(D21=0.667,E21*F21*G21*H21*M21,0)</f>
        <v>18.689166580000002</v>
      </c>
      <c r="O21" s="100">
        <f>+IF(D21=0.333,E21*F21*G21*M21,0)</f>
        <v>0</v>
      </c>
      <c r="P21" s="27">
        <f>11.833-I21-M21-J21</f>
        <v>2.8330000000000002</v>
      </c>
      <c r="Q21" s="100">
        <f>+IF(D21=0.667,E21*F21*G21*H21*P21,0)</f>
        <v>13.236602230285003</v>
      </c>
      <c r="R21" s="100">
        <f>+IF(D21=0.333,E21*F21*G21*P21,0)</f>
        <v>0</v>
      </c>
      <c r="S21" s="101">
        <f t="shared" si="73"/>
        <v>45.942643745285011</v>
      </c>
      <c r="T21" s="101">
        <f t="shared" si="73"/>
        <v>0</v>
      </c>
      <c r="U21" s="92"/>
      <c r="V21" s="91"/>
      <c r="W21" s="102"/>
      <c r="X21" s="98"/>
      <c r="Y21" s="102"/>
      <c r="Z21" s="98"/>
      <c r="AA21" s="98"/>
      <c r="AB21" s="98"/>
      <c r="AC21" s="91"/>
      <c r="AD21" s="98"/>
      <c r="AE21" s="98"/>
      <c r="AF21" s="98"/>
      <c r="AG21" s="91"/>
      <c r="AH21" s="304">
        <v>1</v>
      </c>
      <c r="AI21" s="299">
        <f>+AH21*G21*D21*0.17</f>
        <v>0.79428957965000013</v>
      </c>
      <c r="AK21" s="301">
        <f t="shared" si="71"/>
        <v>7.0049349999999997</v>
      </c>
      <c r="AL21" s="301">
        <f t="shared" si="72"/>
        <v>0</v>
      </c>
      <c r="AM21" s="301"/>
      <c r="AN21" s="301"/>
      <c r="AO21" s="299"/>
      <c r="AP21" s="301">
        <f t="shared" si="82"/>
        <v>45.942643745285011</v>
      </c>
      <c r="AQ21" s="301"/>
      <c r="AT21" s="694">
        <f t="shared" si="24"/>
        <v>7.0049349999999997</v>
      </c>
    </row>
    <row r="22" spans="2:46" ht="20.100000000000001" customHeight="1" x14ac:dyDescent="0.3">
      <c r="B22" s="369"/>
      <c r="C22" s="370"/>
      <c r="D22" s="371"/>
      <c r="E22" s="369"/>
      <c r="F22" s="369"/>
      <c r="G22" s="371"/>
      <c r="H22" s="371"/>
      <c r="I22" s="374"/>
      <c r="J22" s="397"/>
      <c r="K22" s="398"/>
      <c r="L22" s="398"/>
      <c r="M22" s="397"/>
      <c r="N22" s="398"/>
      <c r="O22" s="398"/>
      <c r="P22" s="400"/>
      <c r="Q22" s="398"/>
      <c r="R22" s="398"/>
      <c r="S22" s="399"/>
      <c r="T22" s="399"/>
      <c r="U22" s="369"/>
      <c r="V22" s="373"/>
      <c r="W22" s="374"/>
      <c r="X22" s="374"/>
      <c r="Y22" s="374"/>
      <c r="Z22" s="374"/>
      <c r="AA22" s="374"/>
      <c r="AB22" s="374"/>
      <c r="AC22" s="400"/>
      <c r="AD22" s="374"/>
      <c r="AE22" s="374"/>
      <c r="AF22" s="374"/>
      <c r="AG22" s="400"/>
      <c r="AH22" s="401"/>
      <c r="AI22" s="374"/>
      <c r="AK22" s="378"/>
      <c r="AL22" s="378"/>
      <c r="AM22" s="378"/>
      <c r="AN22" s="378"/>
      <c r="AO22" s="374"/>
      <c r="AP22" s="378"/>
      <c r="AQ22" s="378"/>
      <c r="AT22" s="694">
        <f t="shared" si="24"/>
        <v>0</v>
      </c>
    </row>
    <row r="23" spans="2:46" ht="20.100000000000001" customHeight="1" x14ac:dyDescent="0.3">
      <c r="B23" s="92"/>
      <c r="C23" s="97" t="s">
        <v>567</v>
      </c>
      <c r="D23" s="98"/>
      <c r="E23" s="92"/>
      <c r="F23" s="92"/>
      <c r="G23" s="98"/>
      <c r="H23" s="98"/>
      <c r="I23" s="94"/>
      <c r="J23" s="92"/>
      <c r="K23" s="92"/>
      <c r="L23" s="92"/>
      <c r="M23" s="92"/>
      <c r="N23" s="92"/>
      <c r="O23" s="92"/>
      <c r="P23" s="95"/>
      <c r="Q23" s="92"/>
      <c r="R23" s="92"/>
      <c r="S23" s="92"/>
      <c r="T23" s="92"/>
      <c r="U23" s="92"/>
      <c r="V23" s="91"/>
      <c r="W23" s="102"/>
      <c r="X23" s="98"/>
      <c r="Y23" s="102"/>
      <c r="Z23" s="98"/>
      <c r="AA23" s="98"/>
      <c r="AB23" s="98"/>
      <c r="AC23" s="91"/>
      <c r="AD23" s="98"/>
      <c r="AE23" s="98"/>
      <c r="AF23" s="98"/>
      <c r="AG23" s="91"/>
      <c r="AH23" s="305"/>
      <c r="AI23" s="299"/>
      <c r="AK23" s="301">
        <f t="shared" ref="AK23:AK27" si="83">+IF(D23=0.667,E23*F23*G23,0)</f>
        <v>0</v>
      </c>
      <c r="AL23" s="301">
        <f t="shared" ref="AL23:AL27" si="84">+IF(D23=0.333,E23*F23*G23,0)</f>
        <v>0</v>
      </c>
      <c r="AM23" s="301"/>
      <c r="AN23" s="301">
        <f>+IF(D23=0.333,1.33,0)</f>
        <v>0</v>
      </c>
      <c r="AO23" s="299"/>
      <c r="AP23" s="301"/>
      <c r="AQ23" s="301"/>
      <c r="AT23" s="694">
        <f t="shared" si="24"/>
        <v>0</v>
      </c>
    </row>
    <row r="24" spans="2:46" ht="20.100000000000001" customHeight="1" x14ac:dyDescent="0.3">
      <c r="B24" s="92"/>
      <c r="C24" s="95" t="s">
        <v>33</v>
      </c>
      <c r="D24" s="98">
        <v>0.66700000000000004</v>
      </c>
      <c r="E24" s="92">
        <v>1</v>
      </c>
      <c r="F24" s="92">
        <v>1</v>
      </c>
      <c r="G24" s="555">
        <f>+(2.135*3.281)</f>
        <v>7.0049349999999997</v>
      </c>
      <c r="H24" s="98">
        <f>+D24</f>
        <v>0.66700000000000004</v>
      </c>
      <c r="I24" s="94">
        <v>2</v>
      </c>
      <c r="J24" s="99">
        <v>3</v>
      </c>
      <c r="K24" s="100">
        <f>+IF(D24=0.667,E24*F24*G24*H24*J24,0)</f>
        <v>14.016874935000001</v>
      </c>
      <c r="L24" s="100">
        <f>+IF(D24=0.333,E24*F24*G24*J24,0)</f>
        <v>0</v>
      </c>
      <c r="M24" s="99">
        <v>4</v>
      </c>
      <c r="N24" s="100">
        <f>+IF(D24=0.667,E24*F24*G24*H24*M24,0)</f>
        <v>18.689166580000002</v>
      </c>
      <c r="O24" s="100">
        <f>+IF(D24=0.333,E24*F24*G24*M24,0)</f>
        <v>0</v>
      </c>
      <c r="P24" s="27">
        <f>11.833-I24-M24-J24</f>
        <v>2.8330000000000002</v>
      </c>
      <c r="Q24" s="100">
        <f>+IF(D24=0.667,E24*F24*G24*H24*P24,0)</f>
        <v>13.236602230285003</v>
      </c>
      <c r="R24" s="100">
        <f>+IF(D24=0.333,E24*F24*G24*P24,0)</f>
        <v>0</v>
      </c>
      <c r="S24" s="101">
        <f t="shared" ref="S24:S27" si="85">+Q24+N24+K24</f>
        <v>45.942643745285011</v>
      </c>
      <c r="T24" s="101">
        <f t="shared" ref="T24:T27" si="86">+R24+O24+L24</f>
        <v>0</v>
      </c>
      <c r="U24" s="92"/>
      <c r="V24" s="91"/>
      <c r="W24" s="102"/>
      <c r="X24" s="98"/>
      <c r="Y24" s="102"/>
      <c r="Z24" s="98"/>
      <c r="AA24" s="98"/>
      <c r="AB24" s="98"/>
      <c r="AC24" s="91"/>
      <c r="AD24" s="98"/>
      <c r="AE24" s="98"/>
      <c r="AF24" s="98"/>
      <c r="AG24" s="91"/>
      <c r="AH24" s="305">
        <v>1</v>
      </c>
      <c r="AI24" s="299">
        <f>+AH24*G24*D24*0.17</f>
        <v>0.79428957965000013</v>
      </c>
      <c r="AK24" s="301">
        <f t="shared" si="83"/>
        <v>7.0049349999999997</v>
      </c>
      <c r="AL24" s="301">
        <f t="shared" si="84"/>
        <v>0</v>
      </c>
      <c r="AM24" s="301"/>
      <c r="AN24" s="301">
        <f>+IF(D24=0.333,1.33,0)</f>
        <v>0</v>
      </c>
      <c r="AO24" s="299"/>
      <c r="AP24" s="301">
        <f>+S24</f>
        <v>45.942643745285011</v>
      </c>
      <c r="AQ24" s="301"/>
      <c r="AT24" s="694">
        <f t="shared" si="24"/>
        <v>7.0049349999999997</v>
      </c>
    </row>
    <row r="25" spans="2:46" ht="20.100000000000001" customHeight="1" x14ac:dyDescent="0.3">
      <c r="B25" s="18"/>
      <c r="C25" s="62" t="s">
        <v>130</v>
      </c>
      <c r="D25" s="98">
        <v>0.66700000000000004</v>
      </c>
      <c r="E25" s="18">
        <v>-1</v>
      </c>
      <c r="F25" s="18">
        <v>1</v>
      </c>
      <c r="G25" s="556">
        <v>3</v>
      </c>
      <c r="H25" s="20">
        <f t="shared" ref="H25" si="87">+D25</f>
        <v>0.66700000000000004</v>
      </c>
      <c r="I25" s="21"/>
      <c r="J25" s="22">
        <v>3</v>
      </c>
      <c r="K25" s="103">
        <f t="shared" ref="K25" si="88">+IF(D25=0.667,E25*F25*G25*H25*J25,0)</f>
        <v>-6.003000000000001</v>
      </c>
      <c r="L25" s="103">
        <f t="shared" ref="L25" si="89">+IF(D25=0.333,E25*F25*G25*J25,0)</f>
        <v>0</v>
      </c>
      <c r="M25" s="81">
        <v>4</v>
      </c>
      <c r="N25" s="103">
        <f t="shared" ref="N25" si="90">+IF(D25=0.667,E25*F25*G25*H25*M25,0)</f>
        <v>-8.0040000000000013</v>
      </c>
      <c r="O25" s="103">
        <f t="shared" ref="O25" si="91">+IF(D25=0.333,E25*F25*G25*M25,0)</f>
        <v>0</v>
      </c>
      <c r="P25" s="27"/>
      <c r="Q25" s="103">
        <f t="shared" ref="Q25" si="92">+IF(D25=0.667,E25*F25*G25*H25*P25,0)</f>
        <v>0</v>
      </c>
      <c r="R25" s="103">
        <f t="shared" ref="R25" si="93">+IF(D25=0.333,E25*F25*G25*P25,0)</f>
        <v>0</v>
      </c>
      <c r="S25" s="104">
        <f t="shared" si="85"/>
        <v>-14.007000000000001</v>
      </c>
      <c r="T25" s="104">
        <f t="shared" si="86"/>
        <v>0</v>
      </c>
      <c r="U25" s="18"/>
      <c r="V25" s="26"/>
      <c r="W25" s="21">
        <f>+G25+D25</f>
        <v>3.6669999999999998</v>
      </c>
      <c r="X25" s="21">
        <v>0.5</v>
      </c>
      <c r="Y25" s="21">
        <f>+IF(D25=0.667,-E25*F25*H25*W25*X25,0)</f>
        <v>1.2229445000000001</v>
      </c>
      <c r="Z25" s="21">
        <f>+IF(D25=0.333,-E25*F25*H25*W25*X25,0)</f>
        <v>0</v>
      </c>
      <c r="AA25" s="21">
        <f>+F25*G25*H25</f>
        <v>2.0010000000000003</v>
      </c>
      <c r="AB25" s="21">
        <f t="shared" ref="AB25" si="94">2*F25*W25*X25</f>
        <v>3.6669999999999998</v>
      </c>
      <c r="AC25" s="27"/>
      <c r="AD25" s="21"/>
      <c r="AE25" s="21"/>
      <c r="AF25" s="21"/>
      <c r="AG25" s="27"/>
      <c r="AH25" s="306"/>
      <c r="AI25" s="299"/>
      <c r="AK25" s="301">
        <f t="shared" si="83"/>
        <v>-3</v>
      </c>
      <c r="AL25" s="301">
        <f t="shared" si="84"/>
        <v>0</v>
      </c>
      <c r="AM25" s="301"/>
      <c r="AN25" s="301"/>
      <c r="AO25" s="299"/>
      <c r="AP25" s="301">
        <f t="shared" ref="AP25:AP27" si="95">+S25</f>
        <v>-14.007000000000001</v>
      </c>
      <c r="AQ25" s="301"/>
      <c r="AT25" s="694">
        <f t="shared" si="24"/>
        <v>-3</v>
      </c>
    </row>
    <row r="26" spans="2:46" ht="20.100000000000001" customHeight="1" x14ac:dyDescent="0.3">
      <c r="B26" s="92"/>
      <c r="C26" s="95" t="s">
        <v>31</v>
      </c>
      <c r="D26" s="98">
        <v>0.66700000000000004</v>
      </c>
      <c r="E26" s="92">
        <v>1</v>
      </c>
      <c r="F26" s="92">
        <v>1</v>
      </c>
      <c r="G26" s="555">
        <f>(3.904)*3.281</f>
        <v>12.809024000000001</v>
      </c>
      <c r="H26" s="98">
        <f>+D26</f>
        <v>0.66700000000000004</v>
      </c>
      <c r="I26" s="94">
        <v>2</v>
      </c>
      <c r="J26" s="99">
        <v>3</v>
      </c>
      <c r="K26" s="100">
        <f>+IF(D26=0.667,E26*F26*G26*H26*J26,0)</f>
        <v>25.630857024000001</v>
      </c>
      <c r="L26" s="100">
        <f>+IF(D26=0.333,E26*F26*G26*J26,0)</f>
        <v>0</v>
      </c>
      <c r="M26" s="99">
        <v>4</v>
      </c>
      <c r="N26" s="100">
        <f>+IF(D26=0.667,E26*F26*G26*H26*M26,0)</f>
        <v>34.174476032000001</v>
      </c>
      <c r="O26" s="100">
        <f>+IF(D26=0.333,E26*F26*G26*M26,0)</f>
        <v>0</v>
      </c>
      <c r="P26" s="27">
        <f>11.833-I26-M26-J26</f>
        <v>2.8330000000000002</v>
      </c>
      <c r="Q26" s="100">
        <f>+IF(D26=0.667,E26*F26*G26*H26*P26,0)</f>
        <v>24.204072649664003</v>
      </c>
      <c r="R26" s="100">
        <f>+IF(D26=0.333,E26*F26*G26*P26,0)</f>
        <v>0</v>
      </c>
      <c r="S26" s="101">
        <f t="shared" si="85"/>
        <v>84.009405705663994</v>
      </c>
      <c r="T26" s="101">
        <f t="shared" si="86"/>
        <v>0</v>
      </c>
      <c r="U26" s="92"/>
      <c r="V26" s="91"/>
      <c r="W26" s="102"/>
      <c r="X26" s="98"/>
      <c r="Y26" s="102"/>
      <c r="Z26" s="98"/>
      <c r="AA26" s="98"/>
      <c r="AB26" s="98"/>
      <c r="AC26" s="91"/>
      <c r="AD26" s="98"/>
      <c r="AE26" s="98"/>
      <c r="AF26" s="98"/>
      <c r="AG26" s="91"/>
      <c r="AH26" s="304">
        <v>1</v>
      </c>
      <c r="AI26" s="299">
        <f>+AH26*G26*D26*0.17</f>
        <v>1.4524152313600001</v>
      </c>
      <c r="AK26" s="301">
        <f t="shared" si="83"/>
        <v>12.809024000000001</v>
      </c>
      <c r="AL26" s="301">
        <f t="shared" si="84"/>
        <v>0</v>
      </c>
      <c r="AM26" s="301"/>
      <c r="AN26" s="301"/>
      <c r="AO26" s="299"/>
      <c r="AP26" s="301">
        <f t="shared" si="95"/>
        <v>84.009405705663994</v>
      </c>
      <c r="AQ26" s="301"/>
      <c r="AT26" s="694">
        <f t="shared" si="24"/>
        <v>12.809024000000001</v>
      </c>
    </row>
    <row r="27" spans="2:46" ht="20.100000000000001" customHeight="1" x14ac:dyDescent="0.3">
      <c r="B27" s="92"/>
      <c r="C27" s="95" t="s">
        <v>32</v>
      </c>
      <c r="D27" s="98">
        <v>0.66700000000000004</v>
      </c>
      <c r="E27" s="92">
        <v>1</v>
      </c>
      <c r="F27" s="92">
        <v>1</v>
      </c>
      <c r="G27" s="555">
        <f>(2.135+1.707)*3.281</f>
        <v>12.605601999999999</v>
      </c>
      <c r="H27" s="98">
        <f>+D27</f>
        <v>0.66700000000000004</v>
      </c>
      <c r="I27" s="94">
        <v>2</v>
      </c>
      <c r="J27" s="99">
        <v>3</v>
      </c>
      <c r="K27" s="100">
        <f>+IF(D27=0.667,E27*F27*G27*H27*J27,0)</f>
        <v>25.223809601999996</v>
      </c>
      <c r="L27" s="100">
        <f>+IF(D27=0.333,E27*F27*G27*J27,0)</f>
        <v>0</v>
      </c>
      <c r="M27" s="99">
        <v>4</v>
      </c>
      <c r="N27" s="100">
        <f>+IF(D27=0.667,E27*F27*G27*H27*M27,0)</f>
        <v>33.631746135999997</v>
      </c>
      <c r="O27" s="100">
        <f>+IF(D27=0.333,E27*F27*G27*M27,0)</f>
        <v>0</v>
      </c>
      <c r="P27" s="27">
        <f>11.833-I27-M27-J27</f>
        <v>2.8330000000000002</v>
      </c>
      <c r="Q27" s="100">
        <f>+IF(D27=0.667,E27*F27*G27*H27*P27,0)</f>
        <v>23.819684200822</v>
      </c>
      <c r="R27" s="100">
        <f>+IF(D27=0.333,E27*F27*G27*P27,0)</f>
        <v>0</v>
      </c>
      <c r="S27" s="101">
        <f t="shared" si="85"/>
        <v>82.675239938821989</v>
      </c>
      <c r="T27" s="101">
        <f t="shared" si="86"/>
        <v>0</v>
      </c>
      <c r="U27" s="92"/>
      <c r="V27" s="91"/>
      <c r="W27" s="102"/>
      <c r="X27" s="98"/>
      <c r="Y27" s="102"/>
      <c r="Z27" s="98"/>
      <c r="AA27" s="98"/>
      <c r="AB27" s="98"/>
      <c r="AC27" s="91"/>
      <c r="AD27" s="98"/>
      <c r="AE27" s="98"/>
      <c r="AF27" s="98"/>
      <c r="AG27" s="91"/>
      <c r="AH27" s="304">
        <v>1</v>
      </c>
      <c r="AI27" s="299">
        <f>+AH27*G27*D27*0.17</f>
        <v>1.4293492107799999</v>
      </c>
      <c r="AK27" s="301">
        <f t="shared" si="83"/>
        <v>12.605601999999999</v>
      </c>
      <c r="AL27" s="301">
        <f t="shared" si="84"/>
        <v>0</v>
      </c>
      <c r="AM27" s="301"/>
      <c r="AN27" s="301"/>
      <c r="AO27" s="299"/>
      <c r="AP27" s="301">
        <f t="shared" si="95"/>
        <v>82.675239938821989</v>
      </c>
      <c r="AQ27" s="301"/>
      <c r="AT27" s="694">
        <f t="shared" si="24"/>
        <v>12.605601999999999</v>
      </c>
    </row>
    <row r="28" spans="2:46" ht="20.100000000000001" customHeight="1" x14ac:dyDescent="0.3">
      <c r="B28" s="369"/>
      <c r="C28" s="370"/>
      <c r="D28" s="371"/>
      <c r="E28" s="369"/>
      <c r="F28" s="369"/>
      <c r="G28" s="371"/>
      <c r="H28" s="371"/>
      <c r="I28" s="374"/>
      <c r="J28" s="397"/>
      <c r="K28" s="398"/>
      <c r="L28" s="398"/>
      <c r="M28" s="397"/>
      <c r="N28" s="398"/>
      <c r="O28" s="398"/>
      <c r="P28" s="400"/>
      <c r="Q28" s="398"/>
      <c r="R28" s="398"/>
      <c r="S28" s="399"/>
      <c r="T28" s="399"/>
      <c r="U28" s="369"/>
      <c r="V28" s="373"/>
      <c r="W28" s="374"/>
      <c r="X28" s="374"/>
      <c r="Y28" s="374"/>
      <c r="Z28" s="374"/>
      <c r="AA28" s="374"/>
      <c r="AB28" s="374"/>
      <c r="AC28" s="400"/>
      <c r="AD28" s="374"/>
      <c r="AE28" s="374"/>
      <c r="AF28" s="374"/>
      <c r="AG28" s="400"/>
      <c r="AH28" s="401"/>
      <c r="AI28" s="374"/>
      <c r="AK28" s="378"/>
      <c r="AL28" s="378"/>
      <c r="AM28" s="378"/>
      <c r="AN28" s="378"/>
      <c r="AO28" s="374"/>
      <c r="AP28" s="378"/>
      <c r="AQ28" s="378"/>
      <c r="AT28" s="694">
        <f t="shared" si="24"/>
        <v>0</v>
      </c>
    </row>
    <row r="29" spans="2:46" ht="20.100000000000001" customHeight="1" x14ac:dyDescent="0.3">
      <c r="B29" s="437"/>
      <c r="C29" s="97" t="s">
        <v>381</v>
      </c>
      <c r="D29" s="369"/>
      <c r="E29" s="369"/>
      <c r="F29" s="369"/>
      <c r="G29" s="369"/>
      <c r="H29" s="369"/>
      <c r="I29" s="374"/>
      <c r="J29" s="397"/>
      <c r="K29" s="398"/>
      <c r="L29" s="398"/>
      <c r="M29" s="397"/>
      <c r="N29" s="398"/>
      <c r="O29" s="398"/>
      <c r="P29" s="400"/>
      <c r="Q29" s="398"/>
      <c r="R29" s="398"/>
      <c r="S29" s="399"/>
      <c r="T29" s="399"/>
      <c r="U29" s="369"/>
      <c r="V29" s="373"/>
      <c r="W29" s="374"/>
      <c r="X29" s="374"/>
      <c r="Y29" s="374"/>
      <c r="Z29" s="374"/>
      <c r="AA29" s="374"/>
      <c r="AB29" s="374"/>
      <c r="AC29" s="400"/>
      <c r="AD29" s="378"/>
      <c r="AE29" s="378"/>
      <c r="AF29" s="378"/>
      <c r="AG29" s="400"/>
      <c r="AH29" s="438"/>
      <c r="AI29" s="378"/>
      <c r="AK29" s="378"/>
      <c r="AL29" s="378"/>
      <c r="AM29" s="378"/>
      <c r="AN29" s="378"/>
      <c r="AO29" s="374"/>
      <c r="AP29" s="378"/>
      <c r="AQ29" s="378"/>
      <c r="AT29" s="694">
        <f t="shared" si="24"/>
        <v>0</v>
      </c>
    </row>
    <row r="30" spans="2:46" ht="19.5" customHeight="1" x14ac:dyDescent="0.3">
      <c r="B30" s="18"/>
      <c r="C30" s="62" t="s">
        <v>33</v>
      </c>
      <c r="D30" s="298">
        <v>0.66700000000000004</v>
      </c>
      <c r="E30" s="18">
        <v>1</v>
      </c>
      <c r="F30" s="18">
        <v>1</v>
      </c>
      <c r="G30" s="555">
        <f>+(1.2+1.702+1.204)*3.281</f>
        <v>13.471786</v>
      </c>
      <c r="H30" s="20">
        <f t="shared" ref="H30" si="96">+D30</f>
        <v>0.66700000000000004</v>
      </c>
      <c r="I30" s="94">
        <v>2</v>
      </c>
      <c r="J30" s="81">
        <f>3</f>
        <v>3</v>
      </c>
      <c r="K30" s="103">
        <f t="shared" ref="K30" si="97">+IF(D30=0.667,E30*F30*G30*H30*J30,0)</f>
        <v>26.957043786</v>
      </c>
      <c r="L30" s="103">
        <f t="shared" ref="L30" si="98">+IF(D30=0.333,E30*F30*G30*J30,0)</f>
        <v>0</v>
      </c>
      <c r="M30" s="81">
        <v>4</v>
      </c>
      <c r="N30" s="103">
        <f t="shared" ref="N30" si="99">+IF(D30=0.667,E30*F30*G30*H30*M30,0)</f>
        <v>35.942725048</v>
      </c>
      <c r="O30" s="103">
        <f t="shared" ref="O30" si="100">+IF(D30=0.333,E30*F30*G30*M30,0)</f>
        <v>0</v>
      </c>
      <c r="P30" s="27">
        <f>11.833-I30-M30-J30</f>
        <v>2.8330000000000002</v>
      </c>
      <c r="Q30" s="103">
        <f t="shared" ref="Q30" si="101">+IF(D30=0.667,E30*F30*G30*H30*P30,0)</f>
        <v>25.456435015246001</v>
      </c>
      <c r="R30" s="103">
        <f t="shared" ref="R30" si="102">+IF(D30=0.333,E30*F30*G30*P30,0)</f>
        <v>0</v>
      </c>
      <c r="S30" s="104">
        <f t="shared" ref="S30:T31" si="103">+Q30+N30+K30</f>
        <v>88.356203849246</v>
      </c>
      <c r="T30" s="104">
        <f t="shared" ref="T30" si="104">+R30+O30+L30</f>
        <v>0</v>
      </c>
      <c r="U30" s="18"/>
      <c r="V30" s="26"/>
      <c r="W30" s="21"/>
      <c r="X30" s="21"/>
      <c r="Y30" s="21"/>
      <c r="Z30" s="21"/>
      <c r="AA30" s="21"/>
      <c r="AB30" s="21"/>
      <c r="AC30" s="27"/>
      <c r="AD30" s="21"/>
      <c r="AE30" s="21"/>
      <c r="AF30" s="21"/>
      <c r="AG30" s="27"/>
      <c r="AH30" s="396">
        <v>1</v>
      </c>
      <c r="AI30" s="21">
        <f t="shared" ref="AI30" si="105">+AH30*G30*D30*0.17</f>
        <v>1.5275658145400002</v>
      </c>
      <c r="AK30" s="301">
        <f>+IF(D30=0.667,E30*F30*G30,0)</f>
        <v>13.471786</v>
      </c>
      <c r="AL30" s="301">
        <f>+IF(D30=0.333,E30*F30*G30,0)</f>
        <v>0</v>
      </c>
      <c r="AM30" s="301"/>
      <c r="AN30" s="301"/>
      <c r="AO30" s="299"/>
      <c r="AP30" s="301"/>
      <c r="AQ30" s="301"/>
      <c r="AT30" s="694">
        <f t="shared" si="24"/>
        <v>13.471786</v>
      </c>
    </row>
    <row r="31" spans="2:46" ht="19.5" customHeight="1" x14ac:dyDescent="0.3">
      <c r="B31" s="92"/>
      <c r="C31" s="95" t="s">
        <v>560</v>
      </c>
      <c r="D31" s="98">
        <v>0.66700000000000004</v>
      </c>
      <c r="E31" s="92">
        <v>-1</v>
      </c>
      <c r="F31" s="92">
        <v>1</v>
      </c>
      <c r="G31" s="555">
        <v>0.9</v>
      </c>
      <c r="H31" s="98">
        <f>+D31</f>
        <v>0.66700000000000004</v>
      </c>
      <c r="I31" s="102"/>
      <c r="J31" s="99"/>
      <c r="K31" s="100">
        <f>+IF(D31=0.667,E31*F31*G31*H31*J31,0)</f>
        <v>0</v>
      </c>
      <c r="L31" s="100">
        <f>+IF(D31=0.333,E31*F31*G31*J31,0)</f>
        <v>0</v>
      </c>
      <c r="M31" s="99">
        <v>4</v>
      </c>
      <c r="N31" s="100">
        <f>+IF(D31=0.667,E31*F31*G31*H31*M31,0)</f>
        <v>-2.4012000000000002</v>
      </c>
      <c r="O31" s="100">
        <f>+IF(D31=0.333,E31*F31*G31*M31,0)</f>
        <v>0</v>
      </c>
      <c r="P31" s="99"/>
      <c r="Q31" s="100">
        <f>+IF(D31=0.667,E31*F31*G31*H31*P31,0)</f>
        <v>0</v>
      </c>
      <c r="R31" s="100">
        <f>+IF(D31=0.333,E31*F31*G31*P31,0)</f>
        <v>0</v>
      </c>
      <c r="S31" s="101">
        <f t="shared" si="103"/>
        <v>-2.4012000000000002</v>
      </c>
      <c r="T31" s="101">
        <f t="shared" si="103"/>
        <v>0</v>
      </c>
      <c r="U31" s="677"/>
      <c r="V31" s="98" t="e">
        <f>+F31+C31*2</f>
        <v>#VALUE!</v>
      </c>
      <c r="W31" s="98">
        <f>+G31+D31*2</f>
        <v>2.234</v>
      </c>
      <c r="X31" s="98">
        <v>0.5</v>
      </c>
      <c r="Y31" s="98">
        <f>+IF(D31=0.667,-E31*F31*H31*W31*X31,0)</f>
        <v>0.74503900000000001</v>
      </c>
      <c r="Z31" s="98">
        <f>+IF(D31=0.333,-E31*F31*H31*W31*X31,0)</f>
        <v>0</v>
      </c>
      <c r="AA31" s="98">
        <f>+F31*G31*H31</f>
        <v>0.60030000000000006</v>
      </c>
      <c r="AB31" s="98">
        <f t="shared" ref="AB31" si="106">2*F31*W31*X31</f>
        <v>2.234</v>
      </c>
      <c r="AC31" s="91"/>
      <c r="AD31" s="98"/>
      <c r="AE31" s="98">
        <f>+IF(D31=0.667,AD31*W31*H31*F31,0)</f>
        <v>0</v>
      </c>
      <c r="AF31" s="98">
        <f>+IF(D31=0.333,AD31*W31*H31*F31,0)</f>
        <v>0</v>
      </c>
      <c r="AG31" s="91"/>
      <c r="AH31" s="304"/>
      <c r="AI31" s="299">
        <f>+AH31*G31*D31*0.17</f>
        <v>0</v>
      </c>
      <c r="AK31" s="301">
        <f t="shared" ref="AK31" si="107">+IF(D31=0.667,E31*F31*G31,0)</f>
        <v>-0.9</v>
      </c>
      <c r="AL31" s="301">
        <f t="shared" ref="AL31" si="108">+IF(D31=0.333,E31*F31*G31,0)</f>
        <v>0</v>
      </c>
      <c r="AM31" s="301">
        <f>+IF(D31=0.667,1.33,0)</f>
        <v>1.33</v>
      </c>
      <c r="AN31" s="301"/>
      <c r="AO31" s="299"/>
      <c r="AP31" s="301"/>
      <c r="AQ31" s="301"/>
      <c r="AT31" s="694">
        <f t="shared" si="24"/>
        <v>-0.9</v>
      </c>
    </row>
    <row r="32" spans="2:46" ht="20.100000000000001" customHeight="1" x14ac:dyDescent="0.3">
      <c r="B32" s="369"/>
      <c r="C32" s="370"/>
      <c r="D32" s="371"/>
      <c r="E32" s="369"/>
      <c r="F32" s="369"/>
      <c r="G32" s="371"/>
      <c r="H32" s="371"/>
      <c r="I32" s="374"/>
      <c r="J32" s="397"/>
      <c r="K32" s="398"/>
      <c r="L32" s="398"/>
      <c r="M32" s="397"/>
      <c r="N32" s="398"/>
      <c r="O32" s="398"/>
      <c r="P32" s="400"/>
      <c r="Q32" s="398"/>
      <c r="R32" s="398"/>
      <c r="S32" s="399"/>
      <c r="T32" s="399"/>
      <c r="U32" s="369"/>
      <c r="V32" s="373"/>
      <c r="W32" s="374"/>
      <c r="X32" s="374"/>
      <c r="Y32" s="374"/>
      <c r="Z32" s="374"/>
      <c r="AA32" s="374"/>
      <c r="AB32" s="374"/>
      <c r="AC32" s="400"/>
      <c r="AD32" s="374"/>
      <c r="AE32" s="374"/>
      <c r="AF32" s="374"/>
      <c r="AG32" s="400"/>
      <c r="AH32" s="401"/>
      <c r="AI32" s="374"/>
      <c r="AK32" s="378"/>
      <c r="AL32" s="378"/>
      <c r="AM32" s="378"/>
      <c r="AN32" s="378"/>
      <c r="AO32" s="374"/>
      <c r="AP32" s="378"/>
      <c r="AQ32" s="378"/>
      <c r="AT32" s="694">
        <f t="shared" si="24"/>
        <v>0</v>
      </c>
    </row>
    <row r="33" spans="2:46" ht="20.100000000000001" customHeight="1" x14ac:dyDescent="0.3">
      <c r="B33" s="437"/>
      <c r="C33" s="97" t="s">
        <v>382</v>
      </c>
      <c r="D33" s="369"/>
      <c r="E33" s="369"/>
      <c r="F33" s="369"/>
      <c r="G33" s="369"/>
      <c r="H33" s="369"/>
      <c r="I33" s="374"/>
      <c r="J33" s="397"/>
      <c r="K33" s="398"/>
      <c r="L33" s="398"/>
      <c r="M33" s="397"/>
      <c r="N33" s="398"/>
      <c r="O33" s="398"/>
      <c r="P33" s="400"/>
      <c r="Q33" s="398"/>
      <c r="R33" s="398"/>
      <c r="S33" s="399"/>
      <c r="T33" s="399"/>
      <c r="U33" s="369"/>
      <c r="V33" s="373"/>
      <c r="W33" s="374"/>
      <c r="X33" s="374"/>
      <c r="Y33" s="374"/>
      <c r="Z33" s="374"/>
      <c r="AA33" s="374"/>
      <c r="AB33" s="374"/>
      <c r="AC33" s="400"/>
      <c r="AD33" s="378"/>
      <c r="AE33" s="378"/>
      <c r="AF33" s="378"/>
      <c r="AG33" s="400"/>
      <c r="AH33" s="438"/>
      <c r="AI33" s="378"/>
      <c r="AK33" s="378"/>
      <c r="AL33" s="378"/>
      <c r="AM33" s="378"/>
      <c r="AN33" s="378"/>
      <c r="AO33" s="374"/>
      <c r="AP33" s="378"/>
      <c r="AQ33" s="378"/>
      <c r="AT33" s="694">
        <f t="shared" si="24"/>
        <v>0</v>
      </c>
    </row>
    <row r="34" spans="2:46" ht="19.5" customHeight="1" x14ac:dyDescent="0.3">
      <c r="B34" s="18"/>
      <c r="C34" s="62" t="s">
        <v>33</v>
      </c>
      <c r="D34" s="298">
        <v>0.66700000000000004</v>
      </c>
      <c r="E34" s="18">
        <v>1</v>
      </c>
      <c r="F34" s="18">
        <v>1</v>
      </c>
      <c r="G34" s="556">
        <f>+(4.734)*3.281</f>
        <v>15.532254</v>
      </c>
      <c r="H34" s="20">
        <f t="shared" ref="H34:H35" si="109">+D34</f>
        <v>0.66700000000000004</v>
      </c>
      <c r="I34" s="94">
        <v>2</v>
      </c>
      <c r="J34" s="81">
        <f>3</f>
        <v>3</v>
      </c>
      <c r="K34" s="103">
        <f t="shared" ref="K34:K35" si="110">+IF(D34=0.667,E34*F34*G34*H34*J34,0)</f>
        <v>31.080040254000004</v>
      </c>
      <c r="L34" s="103">
        <f t="shared" ref="L34:L35" si="111">+IF(D34=0.333,E34*F34*G34*J34,0)</f>
        <v>0</v>
      </c>
      <c r="M34" s="81">
        <v>4</v>
      </c>
      <c r="N34" s="103">
        <f t="shared" ref="N34:N35" si="112">+IF(D34=0.667,E34*F34*G34*H34*M34,0)</f>
        <v>41.440053672000005</v>
      </c>
      <c r="O34" s="103">
        <f t="shared" ref="O34:O35" si="113">+IF(D34=0.333,E34*F34*G34*M34,0)</f>
        <v>0</v>
      </c>
      <c r="P34" s="27">
        <f>11.833-I34-M34-J34</f>
        <v>2.8330000000000002</v>
      </c>
      <c r="Q34" s="103">
        <f t="shared" ref="Q34:Q35" si="114">+IF(D34=0.667,E34*F34*G34*H34*P34,0)</f>
        <v>29.349918013194007</v>
      </c>
      <c r="R34" s="103">
        <f t="shared" ref="R34:R35" si="115">+IF(D34=0.333,E34*F34*G34*P34,0)</f>
        <v>0</v>
      </c>
      <c r="S34" s="104">
        <f t="shared" ref="S34:S35" si="116">+Q34+N34+K34</f>
        <v>101.87001193919403</v>
      </c>
      <c r="T34" s="104">
        <f t="shared" ref="T34:T35" si="117">+R34+O34+L34</f>
        <v>0</v>
      </c>
      <c r="U34" s="18"/>
      <c r="V34" s="26"/>
      <c r="W34" s="21"/>
      <c r="X34" s="21"/>
      <c r="Y34" s="21"/>
      <c r="Z34" s="21"/>
      <c r="AA34" s="21"/>
      <c r="AB34" s="21"/>
      <c r="AC34" s="27"/>
      <c r="AD34" s="21"/>
      <c r="AE34" s="21"/>
      <c r="AF34" s="21"/>
      <c r="AG34" s="27"/>
      <c r="AH34" s="396">
        <v>1</v>
      </c>
      <c r="AI34" s="21">
        <f t="shared" ref="AI34:AI35" si="118">+AH34*G34*D34*0.17</f>
        <v>1.7612022810600003</v>
      </c>
      <c r="AK34" s="301">
        <f>+IF(D34=0.667,E34*F34*G34,0)</f>
        <v>15.532254</v>
      </c>
      <c r="AL34" s="301">
        <f>+IF(D34=0.333,E34*F34*G34,0)</f>
        <v>0</v>
      </c>
      <c r="AM34" s="301"/>
      <c r="AN34" s="301"/>
      <c r="AO34" s="299"/>
      <c r="AP34" s="301"/>
      <c r="AQ34" s="301"/>
      <c r="AT34" s="694">
        <f t="shared" si="24"/>
        <v>15.532254</v>
      </c>
    </row>
    <row r="35" spans="2:46" ht="20.100000000000001" customHeight="1" x14ac:dyDescent="0.3">
      <c r="B35" s="18"/>
      <c r="C35" s="62" t="s">
        <v>35</v>
      </c>
      <c r="D35" s="98">
        <v>0.66700000000000004</v>
      </c>
      <c r="E35" s="18">
        <v>-1</v>
      </c>
      <c r="F35" s="702">
        <v>1</v>
      </c>
      <c r="G35" s="556">
        <v>3.25</v>
      </c>
      <c r="H35" s="20">
        <f t="shared" si="109"/>
        <v>0.66700000000000004</v>
      </c>
      <c r="I35" s="21"/>
      <c r="J35" s="81">
        <v>3</v>
      </c>
      <c r="K35" s="103">
        <f t="shared" si="110"/>
        <v>-6.5032500000000013</v>
      </c>
      <c r="L35" s="103">
        <f t="shared" si="111"/>
        <v>0</v>
      </c>
      <c r="M35" s="81">
        <v>4</v>
      </c>
      <c r="N35" s="103">
        <f t="shared" si="112"/>
        <v>-8.6710000000000012</v>
      </c>
      <c r="O35" s="103">
        <f t="shared" si="113"/>
        <v>0</v>
      </c>
      <c r="P35" s="27"/>
      <c r="Q35" s="103">
        <f t="shared" si="114"/>
        <v>0</v>
      </c>
      <c r="R35" s="103">
        <f t="shared" si="115"/>
        <v>0</v>
      </c>
      <c r="S35" s="104">
        <f t="shared" si="116"/>
        <v>-15.174250000000002</v>
      </c>
      <c r="T35" s="104">
        <f t="shared" si="117"/>
        <v>0</v>
      </c>
      <c r="U35" s="18"/>
      <c r="V35" s="26"/>
      <c r="W35" s="21">
        <f>+G35+D35</f>
        <v>3.9169999999999998</v>
      </c>
      <c r="X35" s="21">
        <v>0.5</v>
      </c>
      <c r="Y35" s="21">
        <f>+IF(D35=0.667,-E35*F35*H35*W35*X35,0)</f>
        <v>1.3063195000000001</v>
      </c>
      <c r="Z35" s="21">
        <f>+IF(D35=0.333,-E35*F35*H35*W35*X35,0)</f>
        <v>0</v>
      </c>
      <c r="AA35" s="21">
        <f>+F35*G35*H35</f>
        <v>2.1677500000000003</v>
      </c>
      <c r="AB35" s="21">
        <f t="shared" ref="AB35" si="119">2*F35*W35*X35</f>
        <v>3.9169999999999998</v>
      </c>
      <c r="AC35" s="27"/>
      <c r="AD35" s="21"/>
      <c r="AE35" s="21">
        <f t="shared" ref="AE35" si="120">+IF(D35=0.667,AD35*W35*H35*F35,0)</f>
        <v>0</v>
      </c>
      <c r="AF35" s="21">
        <f t="shared" ref="AF35" si="121">+IF(D35=0.333,AD35*W35*H35*F35,0)</f>
        <v>0</v>
      </c>
      <c r="AG35" s="27"/>
      <c r="AH35" s="396"/>
      <c r="AI35" s="21">
        <f t="shared" si="118"/>
        <v>0</v>
      </c>
      <c r="AK35" s="301">
        <f t="shared" ref="AK35" si="122">+IF(D35=0.667,E35*F35*G35,0)</f>
        <v>-3.25</v>
      </c>
      <c r="AL35" s="301">
        <f t="shared" ref="AL35" si="123">+IF(D35=0.333,E35*F35*G35,0)</f>
        <v>0</v>
      </c>
      <c r="AM35" s="450">
        <f>+IF(D35=0.667,1.33,0)</f>
        <v>1.33</v>
      </c>
      <c r="AN35" s="301">
        <f>+IF(D35=0.333,1.33,0)</f>
        <v>0</v>
      </c>
      <c r="AO35" s="299"/>
      <c r="AP35" s="301"/>
      <c r="AQ35" s="301"/>
      <c r="AT35" s="694">
        <f t="shared" si="24"/>
        <v>-3.25</v>
      </c>
    </row>
    <row r="36" spans="2:46" ht="19.5" customHeight="1" x14ac:dyDescent="0.3">
      <c r="B36" s="18"/>
      <c r="C36" s="62" t="s">
        <v>31</v>
      </c>
      <c r="D36" s="298">
        <v>0.66700000000000004</v>
      </c>
      <c r="E36" s="18">
        <v>1</v>
      </c>
      <c r="F36" s="18">
        <v>2</v>
      </c>
      <c r="G36" s="556">
        <f>+(4.575)*3.281</f>
        <v>15.010575000000001</v>
      </c>
      <c r="H36" s="20">
        <f t="shared" ref="H36" si="124">+D36</f>
        <v>0.66700000000000004</v>
      </c>
      <c r="I36" s="94">
        <v>2</v>
      </c>
      <c r="J36" s="81">
        <f>3</f>
        <v>3</v>
      </c>
      <c r="K36" s="103">
        <f t="shared" ref="K36" si="125">+IF(D36=0.667,E36*F36*G36*H36*J36,0)</f>
        <v>60.072321150000008</v>
      </c>
      <c r="L36" s="103">
        <f t="shared" ref="L36" si="126">+IF(D36=0.333,E36*F36*G36*J36,0)</f>
        <v>0</v>
      </c>
      <c r="M36" s="81">
        <v>4</v>
      </c>
      <c r="N36" s="103">
        <f t="shared" ref="N36" si="127">+IF(D36=0.667,E36*F36*G36*H36*M36,0)</f>
        <v>80.096428200000005</v>
      </c>
      <c r="O36" s="103">
        <f t="shared" ref="O36" si="128">+IF(D36=0.333,E36*F36*G36*M36,0)</f>
        <v>0</v>
      </c>
      <c r="P36" s="27">
        <f>11.833-I36-M36-J36</f>
        <v>2.8330000000000002</v>
      </c>
      <c r="Q36" s="103">
        <f t="shared" ref="Q36" si="129">+IF(D36=0.667,E36*F36*G36*H36*P36,0)</f>
        <v>56.728295272650008</v>
      </c>
      <c r="R36" s="103">
        <f t="shared" ref="R36" si="130">+IF(D36=0.333,E36*F36*G36*P36,0)</f>
        <v>0</v>
      </c>
      <c r="S36" s="104">
        <f t="shared" ref="S36" si="131">+Q36+N36+K36</f>
        <v>196.89704462265001</v>
      </c>
      <c r="T36" s="104">
        <f t="shared" ref="T36" si="132">+R36+O36+L36</f>
        <v>0</v>
      </c>
      <c r="U36" s="18"/>
      <c r="V36" s="26"/>
      <c r="W36" s="21"/>
      <c r="X36" s="21"/>
      <c r="Y36" s="21"/>
      <c r="Z36" s="21"/>
      <c r="AA36" s="21"/>
      <c r="AB36" s="21"/>
      <c r="AC36" s="27"/>
      <c r="AD36" s="21"/>
      <c r="AE36" s="21"/>
      <c r="AF36" s="21"/>
      <c r="AG36" s="27"/>
      <c r="AH36" s="396">
        <v>1</v>
      </c>
      <c r="AI36" s="21">
        <f t="shared" ref="AI36" si="133">+AH36*G36*D36*0.17</f>
        <v>1.7020490992500001</v>
      </c>
      <c r="AK36" s="301">
        <f>+IF(D36=0.667,E36*F36*G36,0)</f>
        <v>30.021150000000002</v>
      </c>
      <c r="AL36" s="301">
        <f>+IF(D36=0.333,E36*F36*G36,0)</f>
        <v>0</v>
      </c>
      <c r="AM36" s="301"/>
      <c r="AN36" s="301"/>
      <c r="AO36" s="299"/>
      <c r="AP36" s="301"/>
      <c r="AQ36" s="301"/>
      <c r="AT36" s="694">
        <f t="shared" si="24"/>
        <v>30.021150000000002</v>
      </c>
    </row>
    <row r="37" spans="2:46" ht="19.5" customHeight="1" x14ac:dyDescent="0.3">
      <c r="B37" s="18"/>
      <c r="C37" s="62" t="s">
        <v>32</v>
      </c>
      <c r="D37" s="298">
        <v>0.66700000000000004</v>
      </c>
      <c r="E37" s="18">
        <v>1</v>
      </c>
      <c r="F37" s="18">
        <v>1</v>
      </c>
      <c r="G37" s="556">
        <f>+(4.187)*3.281</f>
        <v>13.737547000000001</v>
      </c>
      <c r="H37" s="20">
        <f t="shared" ref="H37:H38" si="134">+D37</f>
        <v>0.66700000000000004</v>
      </c>
      <c r="I37" s="94">
        <v>2</v>
      </c>
      <c r="J37" s="81">
        <f>3</f>
        <v>3</v>
      </c>
      <c r="K37" s="103">
        <f t="shared" ref="K37:K38" si="135">+IF(D37=0.667,E37*F37*G37*H37*J37,0)</f>
        <v>27.488831547000004</v>
      </c>
      <c r="L37" s="103">
        <f t="shared" ref="L37:L38" si="136">+IF(D37=0.333,E37*F37*G37*J37,0)</f>
        <v>0</v>
      </c>
      <c r="M37" s="81">
        <v>4</v>
      </c>
      <c r="N37" s="103">
        <f t="shared" ref="N37:N38" si="137">+IF(D37=0.667,E37*F37*G37*H37*M37,0)</f>
        <v>36.651775396000005</v>
      </c>
      <c r="O37" s="103">
        <f t="shared" ref="O37:O38" si="138">+IF(D37=0.333,E37*F37*G37*M37,0)</f>
        <v>0</v>
      </c>
      <c r="P37" s="27">
        <f>11.833-I37-M37-J37</f>
        <v>2.8330000000000002</v>
      </c>
      <c r="Q37" s="103">
        <f t="shared" ref="Q37:Q38" si="139">+IF(D37=0.667,E37*F37*G37*H37*P37,0)</f>
        <v>25.958619924217004</v>
      </c>
      <c r="R37" s="103">
        <f t="shared" ref="R37:R38" si="140">+IF(D37=0.333,E37*F37*G37*P37,0)</f>
        <v>0</v>
      </c>
      <c r="S37" s="104">
        <f t="shared" ref="S37:S38" si="141">+Q37+N37+K37</f>
        <v>90.099226867217013</v>
      </c>
      <c r="T37" s="104">
        <f t="shared" ref="T37:T38" si="142">+R37+O37+L37</f>
        <v>0</v>
      </c>
      <c r="U37" s="18"/>
      <c r="V37" s="26"/>
      <c r="W37" s="21"/>
      <c r="X37" s="21"/>
      <c r="Y37" s="21"/>
      <c r="Z37" s="21"/>
      <c r="AA37" s="21"/>
      <c r="AB37" s="21"/>
      <c r="AC37" s="27"/>
      <c r="AD37" s="21"/>
      <c r="AE37" s="21"/>
      <c r="AF37" s="21"/>
      <c r="AG37" s="27"/>
      <c r="AH37" s="396">
        <v>1</v>
      </c>
      <c r="AI37" s="21">
        <f t="shared" ref="AI37:AI38" si="143">+AH37*G37*D37*0.17</f>
        <v>1.5577004543300004</v>
      </c>
      <c r="AK37" s="301">
        <f>+IF(D37=0.667,E37*F37*G37,0)</f>
        <v>13.737547000000001</v>
      </c>
      <c r="AL37" s="301">
        <f>+IF(D37=0.333,E37*F37*G37,0)</f>
        <v>0</v>
      </c>
      <c r="AM37" s="301"/>
      <c r="AN37" s="301"/>
      <c r="AO37" s="299"/>
      <c r="AP37" s="301"/>
      <c r="AQ37" s="301"/>
      <c r="AT37" s="694">
        <f t="shared" si="24"/>
        <v>13.737547000000001</v>
      </c>
    </row>
    <row r="38" spans="2:46" ht="20.100000000000001" customHeight="1" x14ac:dyDescent="0.3">
      <c r="B38" s="92"/>
      <c r="C38" s="95" t="s">
        <v>347</v>
      </c>
      <c r="D38" s="98">
        <v>0.66700000000000004</v>
      </c>
      <c r="E38" s="92">
        <v>-1</v>
      </c>
      <c r="F38" s="18">
        <v>1</v>
      </c>
      <c r="G38" s="555">
        <v>6</v>
      </c>
      <c r="H38" s="98">
        <f t="shared" si="134"/>
        <v>0.66700000000000004</v>
      </c>
      <c r="I38" s="94"/>
      <c r="J38" s="99"/>
      <c r="K38" s="100">
        <f t="shared" si="135"/>
        <v>0</v>
      </c>
      <c r="L38" s="100">
        <f t="shared" si="136"/>
        <v>0</v>
      </c>
      <c r="M38" s="99">
        <v>4</v>
      </c>
      <c r="N38" s="100">
        <f t="shared" si="137"/>
        <v>-16.008000000000003</v>
      </c>
      <c r="O38" s="100">
        <f t="shared" si="138"/>
        <v>0</v>
      </c>
      <c r="P38" s="27">
        <v>0</v>
      </c>
      <c r="Q38" s="100">
        <f t="shared" si="139"/>
        <v>0</v>
      </c>
      <c r="R38" s="100">
        <f t="shared" si="140"/>
        <v>0</v>
      </c>
      <c r="S38" s="101">
        <f t="shared" si="141"/>
        <v>-16.008000000000003</v>
      </c>
      <c r="T38" s="101">
        <f t="shared" si="142"/>
        <v>0</v>
      </c>
      <c r="U38" s="92"/>
      <c r="V38" s="91"/>
      <c r="W38" s="102">
        <f>+G38+D38</f>
        <v>6.6669999999999998</v>
      </c>
      <c r="X38" s="98">
        <v>0.5</v>
      </c>
      <c r="Y38" s="102">
        <f>+IF(D38=0.667,-E38*F38*H38*W38*X38,0)</f>
        <v>2.2234445000000003</v>
      </c>
      <c r="Z38" s="98">
        <f>+IF(D38=0.333,-E38*F38*H38*W38*X38,0)</f>
        <v>0</v>
      </c>
      <c r="AA38" s="98">
        <f>+F38*G38*H38</f>
        <v>4.0020000000000007</v>
      </c>
      <c r="AB38" s="98">
        <f t="shared" ref="AB38" si="144">2*F38*W38*X38</f>
        <v>6.6669999999999998</v>
      </c>
      <c r="AC38" s="91"/>
      <c r="AD38" s="98">
        <v>0.16700000000000001</v>
      </c>
      <c r="AE38" s="98">
        <f t="shared" ref="AE38" si="145">+IF(D38=0.667,AD38*W38*H38*F38,0)</f>
        <v>0.74263046300000002</v>
      </c>
      <c r="AF38" s="98">
        <f t="shared" ref="AF38" si="146">+IF(D38=0.333,AD38*W38*H38*F38,0)</f>
        <v>0</v>
      </c>
      <c r="AG38" s="91"/>
      <c r="AH38" s="305"/>
      <c r="AI38" s="299">
        <f t="shared" si="143"/>
        <v>0</v>
      </c>
      <c r="AK38" s="301"/>
      <c r="AL38" s="301">
        <f t="shared" ref="AL38" si="147">+IF(D38=0.333,E38*F38*G38,0)</f>
        <v>0</v>
      </c>
      <c r="AM38" s="301"/>
      <c r="AN38" s="301"/>
      <c r="AO38" s="299"/>
      <c r="AP38" s="301"/>
      <c r="AQ38" s="301"/>
      <c r="AT38" s="694">
        <f t="shared" si="24"/>
        <v>-6</v>
      </c>
    </row>
    <row r="39" spans="2:46" ht="19.5" customHeight="1" x14ac:dyDescent="0.3">
      <c r="B39" s="18"/>
      <c r="C39" s="62" t="s">
        <v>38</v>
      </c>
      <c r="D39" s="298">
        <v>0.66700000000000004</v>
      </c>
      <c r="E39" s="18">
        <v>1</v>
      </c>
      <c r="F39" s="18">
        <v>1</v>
      </c>
      <c r="G39" s="556">
        <f>+(4.775)*3.281</f>
        <v>15.666775000000001</v>
      </c>
      <c r="H39" s="20">
        <f t="shared" ref="H39" si="148">+D39</f>
        <v>0.66700000000000004</v>
      </c>
      <c r="I39" s="94">
        <v>2</v>
      </c>
      <c r="J39" s="81">
        <f>3</f>
        <v>3</v>
      </c>
      <c r="K39" s="103">
        <f t="shared" ref="K39" si="149">+IF(D39=0.667,E39*F39*G39*H39*J39,0)</f>
        <v>31.349216775000006</v>
      </c>
      <c r="L39" s="103">
        <f t="shared" ref="L39" si="150">+IF(D39=0.333,E39*F39*G39*J39,0)</f>
        <v>0</v>
      </c>
      <c r="M39" s="81">
        <v>4</v>
      </c>
      <c r="N39" s="103">
        <f t="shared" ref="N39" si="151">+IF(D39=0.667,E39*F39*G39*H39*M39,0)</f>
        <v>41.798955700000008</v>
      </c>
      <c r="O39" s="103">
        <f t="shared" ref="O39" si="152">+IF(D39=0.333,E39*F39*G39*M39,0)</f>
        <v>0</v>
      </c>
      <c r="P39" s="27">
        <f>11.833-I39-M39-J39</f>
        <v>2.8330000000000002</v>
      </c>
      <c r="Q39" s="103">
        <f t="shared" ref="Q39" si="153">+IF(D39=0.667,E39*F39*G39*H39*P39,0)</f>
        <v>29.604110374525007</v>
      </c>
      <c r="R39" s="103">
        <f t="shared" ref="R39" si="154">+IF(D39=0.333,E39*F39*G39*P39,0)</f>
        <v>0</v>
      </c>
      <c r="S39" s="104">
        <f t="shared" ref="S39" si="155">+Q39+N39+K39</f>
        <v>102.75228284952502</v>
      </c>
      <c r="T39" s="104">
        <f t="shared" ref="T39" si="156">+R39+O39+L39</f>
        <v>0</v>
      </c>
      <c r="U39" s="18"/>
      <c r="V39" s="26"/>
      <c r="W39" s="21"/>
      <c r="X39" s="21"/>
      <c r="Y39" s="21"/>
      <c r="Z39" s="21"/>
      <c r="AA39" s="21"/>
      <c r="AB39" s="21"/>
      <c r="AC39" s="27"/>
      <c r="AD39" s="21"/>
      <c r="AE39" s="21"/>
      <c r="AF39" s="21"/>
      <c r="AG39" s="27"/>
      <c r="AH39" s="396">
        <v>1</v>
      </c>
      <c r="AI39" s="21">
        <f t="shared" ref="AI39" si="157">+AH39*G39*D39*0.17</f>
        <v>1.7764556172500003</v>
      </c>
      <c r="AK39" s="301">
        <f>+IF(D39=0.667,E39*F39*G39,0)</f>
        <v>15.666775000000001</v>
      </c>
      <c r="AL39" s="301">
        <f>+IF(D39=0.333,E39*F39*G39,0)</f>
        <v>0</v>
      </c>
      <c r="AM39" s="301"/>
      <c r="AN39" s="301"/>
      <c r="AO39" s="299"/>
      <c r="AP39" s="301"/>
      <c r="AQ39" s="301"/>
      <c r="AT39" s="694">
        <f t="shared" si="24"/>
        <v>15.666775000000001</v>
      </c>
    </row>
    <row r="40" spans="2:46" ht="20.100000000000001" customHeight="1" x14ac:dyDescent="0.3">
      <c r="B40" s="369"/>
      <c r="C40" s="370"/>
      <c r="D40" s="371"/>
      <c r="E40" s="369"/>
      <c r="F40" s="369"/>
      <c r="G40" s="371"/>
      <c r="H40" s="371"/>
      <c r="I40" s="374"/>
      <c r="J40" s="397"/>
      <c r="K40" s="398"/>
      <c r="L40" s="398"/>
      <c r="M40" s="397"/>
      <c r="N40" s="398"/>
      <c r="O40" s="398"/>
      <c r="P40" s="400"/>
      <c r="Q40" s="398"/>
      <c r="R40" s="398"/>
      <c r="S40" s="399"/>
      <c r="T40" s="399"/>
      <c r="U40" s="369"/>
      <c r="V40" s="373"/>
      <c r="W40" s="374"/>
      <c r="X40" s="374"/>
      <c r="Y40" s="374"/>
      <c r="Z40" s="374"/>
      <c r="AA40" s="374"/>
      <c r="AB40" s="374"/>
      <c r="AC40" s="400"/>
      <c r="AD40" s="374"/>
      <c r="AE40" s="374"/>
      <c r="AF40" s="374"/>
      <c r="AG40" s="400"/>
      <c r="AH40" s="401"/>
      <c r="AI40" s="374"/>
      <c r="AK40" s="378"/>
      <c r="AL40" s="378"/>
      <c r="AM40" s="378"/>
      <c r="AN40" s="378"/>
      <c r="AO40" s="374"/>
      <c r="AP40" s="378"/>
      <c r="AQ40" s="378"/>
      <c r="AT40" s="694">
        <f t="shared" si="24"/>
        <v>0</v>
      </c>
    </row>
    <row r="41" spans="2:46" ht="20.100000000000001" customHeight="1" x14ac:dyDescent="0.3">
      <c r="B41" s="437"/>
      <c r="C41" s="97" t="s">
        <v>383</v>
      </c>
      <c r="D41" s="369"/>
      <c r="E41" s="369"/>
      <c r="F41" s="369"/>
      <c r="G41" s="369"/>
      <c r="H41" s="369"/>
      <c r="I41" s="374"/>
      <c r="J41" s="397"/>
      <c r="K41" s="398"/>
      <c r="L41" s="398"/>
      <c r="M41" s="397"/>
      <c r="N41" s="398"/>
      <c r="O41" s="398"/>
      <c r="P41" s="400"/>
      <c r="Q41" s="398"/>
      <c r="R41" s="398"/>
      <c r="S41" s="399"/>
      <c r="T41" s="399"/>
      <c r="U41" s="369"/>
      <c r="V41" s="373"/>
      <c r="W41" s="374"/>
      <c r="X41" s="374"/>
      <c r="Y41" s="374"/>
      <c r="Z41" s="374"/>
      <c r="AA41" s="374"/>
      <c r="AB41" s="374"/>
      <c r="AC41" s="400"/>
      <c r="AD41" s="378"/>
      <c r="AE41" s="378"/>
      <c r="AF41" s="378"/>
      <c r="AG41" s="400"/>
      <c r="AH41" s="438"/>
      <c r="AI41" s="378"/>
      <c r="AK41" s="378"/>
      <c r="AL41" s="378"/>
      <c r="AM41" s="378"/>
      <c r="AN41" s="378"/>
      <c r="AO41" s="374"/>
      <c r="AP41" s="378"/>
      <c r="AQ41" s="378"/>
      <c r="AT41" s="694">
        <f t="shared" si="24"/>
        <v>0</v>
      </c>
    </row>
    <row r="42" spans="2:46" ht="19.5" customHeight="1" x14ac:dyDescent="0.3">
      <c r="B42" s="18"/>
      <c r="C42" s="62" t="s">
        <v>33</v>
      </c>
      <c r="D42" s="298">
        <v>0.33300000000000002</v>
      </c>
      <c r="E42" s="18">
        <v>1</v>
      </c>
      <c r="F42" s="18">
        <v>1</v>
      </c>
      <c r="G42" s="556">
        <f>+(3.739)*3.281</f>
        <v>12.267659</v>
      </c>
      <c r="H42" s="20">
        <f t="shared" ref="H42:H47" si="158">+D42</f>
        <v>0.33300000000000002</v>
      </c>
      <c r="I42" s="94">
        <v>2</v>
      </c>
      <c r="J42" s="81">
        <f>3</f>
        <v>3</v>
      </c>
      <c r="K42" s="103">
        <f t="shared" ref="K42:K47" si="159">+IF(D42=0.667,E42*F42*G42*H42*J42,0)</f>
        <v>0</v>
      </c>
      <c r="L42" s="103">
        <f t="shared" ref="L42:L47" si="160">+IF(D42=0.333,E42*F42*G42*J42,0)</f>
        <v>36.802976999999998</v>
      </c>
      <c r="M42" s="81">
        <v>4</v>
      </c>
      <c r="N42" s="103">
        <f t="shared" ref="N42:N47" si="161">+IF(D42=0.667,E42*F42*G42*H42*M42,0)</f>
        <v>0</v>
      </c>
      <c r="O42" s="103">
        <f t="shared" ref="O42:O47" si="162">+IF(D42=0.333,E42*F42*G42*M42,0)</f>
        <v>49.070636</v>
      </c>
      <c r="P42" s="27">
        <f>11.833-I42-M42-J42</f>
        <v>2.8330000000000002</v>
      </c>
      <c r="Q42" s="103">
        <f t="shared" ref="Q42:Q47" si="163">+IF(D42=0.667,E42*F42*G42*H42*P42,0)</f>
        <v>0</v>
      </c>
      <c r="R42" s="103">
        <f t="shared" ref="R42:R47" si="164">+IF(D42=0.333,E42*F42*G42*P42,0)</f>
        <v>34.754277947000006</v>
      </c>
      <c r="S42" s="104">
        <f t="shared" ref="S42:S47" si="165">+Q42+N42+K42</f>
        <v>0</v>
      </c>
      <c r="T42" s="104">
        <f t="shared" ref="T42:T47" si="166">+R42+O42+L42</f>
        <v>120.627890947</v>
      </c>
      <c r="U42" s="18"/>
      <c r="V42" s="26"/>
      <c r="W42" s="21"/>
      <c r="X42" s="21"/>
      <c r="Y42" s="21"/>
      <c r="Z42" s="21"/>
      <c r="AA42" s="21"/>
      <c r="AB42" s="21"/>
      <c r="AC42" s="27"/>
      <c r="AD42" s="21"/>
      <c r="AE42" s="21"/>
      <c r="AF42" s="21"/>
      <c r="AG42" s="27"/>
      <c r="AH42" s="396">
        <v>1</v>
      </c>
      <c r="AI42" s="21">
        <f t="shared" ref="AI42:AI47" si="167">+AH42*G42*D42*0.17</f>
        <v>0.69447217599000011</v>
      </c>
      <c r="AK42" s="301">
        <f>+IF(D42=0.667,E42*F42*G42,0)</f>
        <v>0</v>
      </c>
      <c r="AL42" s="301">
        <f>+IF(D42=0.333,E42*F42*G42,0)</f>
        <v>12.267659</v>
      </c>
      <c r="AM42" s="301"/>
      <c r="AN42" s="301"/>
      <c r="AO42" s="299"/>
      <c r="AP42" s="301"/>
      <c r="AQ42" s="301"/>
      <c r="AT42" s="694">
        <f t="shared" si="24"/>
        <v>12.267659</v>
      </c>
    </row>
    <row r="43" spans="2:46" ht="19.5" customHeight="1" x14ac:dyDescent="0.3">
      <c r="B43" s="18"/>
      <c r="C43" s="62" t="s">
        <v>33</v>
      </c>
      <c r="D43" s="298">
        <v>0.66700000000000004</v>
      </c>
      <c r="E43" s="18">
        <v>1</v>
      </c>
      <c r="F43" s="18">
        <v>1</v>
      </c>
      <c r="G43" s="556">
        <f>+(0.478)*3.281</f>
        <v>1.5683180000000001</v>
      </c>
      <c r="H43" s="20">
        <f t="shared" ref="H43" si="168">+D43</f>
        <v>0.66700000000000004</v>
      </c>
      <c r="I43" s="94">
        <v>2</v>
      </c>
      <c r="J43" s="81">
        <f>3</f>
        <v>3</v>
      </c>
      <c r="K43" s="103">
        <f t="shared" ref="K43" si="169">+IF(D43=0.667,E43*F43*G43*H43*J43,0)</f>
        <v>3.1382043180000005</v>
      </c>
      <c r="L43" s="103">
        <f t="shared" ref="L43" si="170">+IF(D43=0.333,E43*F43*G43*J43,0)</f>
        <v>0</v>
      </c>
      <c r="M43" s="81">
        <v>4</v>
      </c>
      <c r="N43" s="103">
        <f t="shared" ref="N43" si="171">+IF(D43=0.667,E43*F43*G43*H43*M43,0)</f>
        <v>4.1842724240000004</v>
      </c>
      <c r="O43" s="103">
        <f t="shared" ref="O43" si="172">+IF(D43=0.333,E43*F43*G43*M43,0)</f>
        <v>0</v>
      </c>
      <c r="P43" s="27">
        <f>11.833-I43-M43-J43</f>
        <v>2.8330000000000002</v>
      </c>
      <c r="Q43" s="103">
        <f t="shared" ref="Q43" si="173">+IF(D43=0.667,E43*F43*G43*H43*P43,0)</f>
        <v>2.9635109442980005</v>
      </c>
      <c r="R43" s="103">
        <f t="shared" ref="R43" si="174">+IF(D43=0.333,E43*F43*G43*P43,0)</f>
        <v>0</v>
      </c>
      <c r="S43" s="104">
        <f t="shared" ref="S43" si="175">+Q43+N43+K43</f>
        <v>10.285987686298</v>
      </c>
      <c r="T43" s="104">
        <f t="shared" ref="T43" si="176">+R43+O43+L43</f>
        <v>0</v>
      </c>
      <c r="U43" s="18"/>
      <c r="V43" s="26"/>
      <c r="W43" s="21"/>
      <c r="X43" s="21"/>
      <c r="Y43" s="21"/>
      <c r="Z43" s="21"/>
      <c r="AA43" s="21"/>
      <c r="AB43" s="21"/>
      <c r="AC43" s="27"/>
      <c r="AD43" s="21"/>
      <c r="AE43" s="21"/>
      <c r="AF43" s="21"/>
      <c r="AG43" s="27"/>
      <c r="AH43" s="396">
        <v>1</v>
      </c>
      <c r="AI43" s="21">
        <f t="shared" ref="AI43" si="177">+AH43*G43*D43*0.17</f>
        <v>0.17783157802000002</v>
      </c>
      <c r="AK43" s="301">
        <f>+IF(D43=0.667,E43*F43*G43,0)</f>
        <v>1.5683180000000001</v>
      </c>
      <c r="AL43" s="301">
        <f>+IF(D43=0.333,E43*F43*G43,0)</f>
        <v>0</v>
      </c>
      <c r="AM43" s="301"/>
      <c r="AN43" s="301"/>
      <c r="AO43" s="299"/>
      <c r="AP43" s="301"/>
      <c r="AQ43" s="301"/>
      <c r="AT43" s="694">
        <f t="shared" si="24"/>
        <v>1.5683180000000001</v>
      </c>
    </row>
    <row r="44" spans="2:46" ht="19.5" customHeight="1" x14ac:dyDescent="0.3">
      <c r="B44" s="18"/>
      <c r="C44" s="62" t="s">
        <v>31</v>
      </c>
      <c r="D44" s="298">
        <v>0.66700000000000004</v>
      </c>
      <c r="E44" s="18">
        <v>1</v>
      </c>
      <c r="F44" s="18">
        <v>1</v>
      </c>
      <c r="G44" s="556">
        <f>+(2.645)*3.281</f>
        <v>8.6782450000000004</v>
      </c>
      <c r="H44" s="20">
        <f t="shared" si="158"/>
        <v>0.66700000000000004</v>
      </c>
      <c r="I44" s="94">
        <v>2</v>
      </c>
      <c r="J44" s="81">
        <f>3</f>
        <v>3</v>
      </c>
      <c r="K44" s="103">
        <f t="shared" si="159"/>
        <v>17.365168245000003</v>
      </c>
      <c r="L44" s="103">
        <f t="shared" si="160"/>
        <v>0</v>
      </c>
      <c r="M44" s="81">
        <v>4</v>
      </c>
      <c r="N44" s="103">
        <f t="shared" si="161"/>
        <v>23.153557660000004</v>
      </c>
      <c r="O44" s="103">
        <f t="shared" si="162"/>
        <v>0</v>
      </c>
      <c r="P44" s="27">
        <f>11.833-I44-M44-J44</f>
        <v>2.8330000000000002</v>
      </c>
      <c r="Q44" s="103">
        <f t="shared" si="163"/>
        <v>16.398507212695005</v>
      </c>
      <c r="R44" s="103">
        <f t="shared" si="164"/>
        <v>0</v>
      </c>
      <c r="S44" s="104">
        <f t="shared" si="165"/>
        <v>56.917233117695019</v>
      </c>
      <c r="T44" s="104">
        <f t="shared" si="166"/>
        <v>0</v>
      </c>
      <c r="U44" s="18"/>
      <c r="V44" s="26"/>
      <c r="W44" s="21"/>
      <c r="X44" s="21"/>
      <c r="Y44" s="21"/>
      <c r="Z44" s="21"/>
      <c r="AA44" s="21"/>
      <c r="AB44" s="21"/>
      <c r="AC44" s="27"/>
      <c r="AD44" s="21"/>
      <c r="AE44" s="21"/>
      <c r="AF44" s="21"/>
      <c r="AG44" s="27"/>
      <c r="AH44" s="396">
        <v>1</v>
      </c>
      <c r="AI44" s="21">
        <f t="shared" si="167"/>
        <v>0.98402620055000023</v>
      </c>
      <c r="AK44" s="301">
        <f>+IF(D44=0.667,E44*F44*G44,0)</f>
        <v>8.6782450000000004</v>
      </c>
      <c r="AL44" s="301">
        <f>+IF(D44=0.333,E44*F44*G44,0)</f>
        <v>0</v>
      </c>
      <c r="AM44" s="301"/>
      <c r="AN44" s="301"/>
      <c r="AO44" s="299"/>
      <c r="AP44" s="301"/>
      <c r="AQ44" s="301"/>
      <c r="AT44" s="694">
        <f t="shared" si="24"/>
        <v>8.6782450000000004</v>
      </c>
    </row>
    <row r="45" spans="2:46" ht="19.5" customHeight="1" x14ac:dyDescent="0.3">
      <c r="B45" s="18"/>
      <c r="C45" s="62" t="s">
        <v>32</v>
      </c>
      <c r="D45" s="298">
        <v>0.33300000000000002</v>
      </c>
      <c r="E45" s="18">
        <v>1</v>
      </c>
      <c r="F45" s="18">
        <v>1</v>
      </c>
      <c r="G45" s="556">
        <f>+(4.839)*3.281</f>
        <v>15.876759000000002</v>
      </c>
      <c r="H45" s="20">
        <f t="shared" si="158"/>
        <v>0.33300000000000002</v>
      </c>
      <c r="I45" s="94">
        <v>2</v>
      </c>
      <c r="J45" s="81">
        <f>3</f>
        <v>3</v>
      </c>
      <c r="K45" s="103">
        <f t="shared" si="159"/>
        <v>0</v>
      </c>
      <c r="L45" s="103">
        <f t="shared" si="160"/>
        <v>47.630277000000007</v>
      </c>
      <c r="M45" s="81">
        <v>4</v>
      </c>
      <c r="N45" s="103">
        <f t="shared" si="161"/>
        <v>0</v>
      </c>
      <c r="O45" s="103">
        <f t="shared" si="162"/>
        <v>63.507036000000006</v>
      </c>
      <c r="P45" s="27">
        <f>11.833-I45-M45-J45</f>
        <v>2.8330000000000002</v>
      </c>
      <c r="Q45" s="103">
        <f t="shared" si="163"/>
        <v>0</v>
      </c>
      <c r="R45" s="103">
        <f t="shared" si="164"/>
        <v>44.978858247000005</v>
      </c>
      <c r="S45" s="104">
        <f t="shared" si="165"/>
        <v>0</v>
      </c>
      <c r="T45" s="104">
        <f t="shared" si="166"/>
        <v>156.11617124700001</v>
      </c>
      <c r="U45" s="18"/>
      <c r="V45" s="26"/>
      <c r="W45" s="21"/>
      <c r="X45" s="21"/>
      <c r="Y45" s="21"/>
      <c r="Z45" s="21"/>
      <c r="AA45" s="21"/>
      <c r="AB45" s="21"/>
      <c r="AC45" s="27"/>
      <c r="AD45" s="21"/>
      <c r="AE45" s="21"/>
      <c r="AF45" s="21"/>
      <c r="AG45" s="27"/>
      <c r="AH45" s="396">
        <v>1</v>
      </c>
      <c r="AI45" s="21">
        <f t="shared" si="167"/>
        <v>0.8987833269900003</v>
      </c>
      <c r="AK45" s="301">
        <f>+IF(D45=0.667,E45*F45*G45,0)</f>
        <v>0</v>
      </c>
      <c r="AL45" s="301">
        <f>+IF(D45=0.333,E45*F45*G45,0)</f>
        <v>15.876759000000002</v>
      </c>
      <c r="AM45" s="301"/>
      <c r="AN45" s="301"/>
      <c r="AO45" s="299"/>
      <c r="AP45" s="301"/>
      <c r="AQ45" s="301"/>
      <c r="AT45" s="694">
        <f t="shared" si="24"/>
        <v>15.876759000000002</v>
      </c>
    </row>
    <row r="46" spans="2:46" ht="19.5" customHeight="1" x14ac:dyDescent="0.3">
      <c r="B46" s="18"/>
      <c r="C46" s="62" t="s">
        <v>38</v>
      </c>
      <c r="D46" s="298">
        <v>0.33300000000000002</v>
      </c>
      <c r="E46" s="18">
        <v>1</v>
      </c>
      <c r="F46" s="18">
        <v>1</v>
      </c>
      <c r="G46" s="556">
        <f>+(2.68)*3.281</f>
        <v>8.7930800000000016</v>
      </c>
      <c r="H46" s="20">
        <f t="shared" si="158"/>
        <v>0.33300000000000002</v>
      </c>
      <c r="I46" s="94">
        <v>2</v>
      </c>
      <c r="J46" s="81">
        <f>3</f>
        <v>3</v>
      </c>
      <c r="K46" s="103">
        <f t="shared" si="159"/>
        <v>0</v>
      </c>
      <c r="L46" s="103">
        <f t="shared" si="160"/>
        <v>26.379240000000003</v>
      </c>
      <c r="M46" s="81">
        <v>4</v>
      </c>
      <c r="N46" s="103">
        <f t="shared" si="161"/>
        <v>0</v>
      </c>
      <c r="O46" s="103">
        <f t="shared" si="162"/>
        <v>35.172320000000006</v>
      </c>
      <c r="P46" s="27">
        <f>11.833-I46-M46-J46</f>
        <v>2.8330000000000002</v>
      </c>
      <c r="Q46" s="103">
        <f t="shared" si="163"/>
        <v>0</v>
      </c>
      <c r="R46" s="103">
        <f t="shared" si="164"/>
        <v>24.910795640000007</v>
      </c>
      <c r="S46" s="104">
        <f t="shared" si="165"/>
        <v>0</v>
      </c>
      <c r="T46" s="104">
        <f t="shared" si="166"/>
        <v>86.462355640000027</v>
      </c>
      <c r="U46" s="18"/>
      <c r="V46" s="26"/>
      <c r="W46" s="21"/>
      <c r="X46" s="21"/>
      <c r="Y46" s="21"/>
      <c r="Z46" s="21"/>
      <c r="AA46" s="21"/>
      <c r="AB46" s="21"/>
      <c r="AC46" s="27"/>
      <c r="AD46" s="21"/>
      <c r="AE46" s="21"/>
      <c r="AF46" s="21"/>
      <c r="AG46" s="27"/>
      <c r="AH46" s="396">
        <v>1</v>
      </c>
      <c r="AI46" s="21">
        <f t="shared" si="167"/>
        <v>0.4977762588000002</v>
      </c>
      <c r="AK46" s="301">
        <f>+IF(D46=0.667,E46*F46*G46,0)</f>
        <v>0</v>
      </c>
      <c r="AL46" s="301">
        <f>+IF(D46=0.333,E46*F46*G46,0)</f>
        <v>8.7930800000000016</v>
      </c>
      <c r="AM46" s="301"/>
      <c r="AN46" s="301"/>
      <c r="AO46" s="299"/>
      <c r="AP46" s="301"/>
      <c r="AQ46" s="301"/>
      <c r="AT46" s="694">
        <f t="shared" si="24"/>
        <v>8.7930800000000016</v>
      </c>
    </row>
    <row r="47" spans="2:46" ht="20.100000000000001" customHeight="1" x14ac:dyDescent="0.3">
      <c r="B47" s="18"/>
      <c r="C47" s="62" t="s">
        <v>35</v>
      </c>
      <c r="D47" s="298">
        <v>0.33300000000000002</v>
      </c>
      <c r="E47" s="18">
        <v>-1</v>
      </c>
      <c r="F47" s="702">
        <v>1</v>
      </c>
      <c r="G47" s="556">
        <v>3.25</v>
      </c>
      <c r="H47" s="20">
        <f t="shared" si="158"/>
        <v>0.33300000000000002</v>
      </c>
      <c r="I47" s="21"/>
      <c r="J47" s="81">
        <v>3</v>
      </c>
      <c r="K47" s="103">
        <f t="shared" si="159"/>
        <v>0</v>
      </c>
      <c r="L47" s="103">
        <f t="shared" si="160"/>
        <v>-9.75</v>
      </c>
      <c r="M47" s="81">
        <v>4</v>
      </c>
      <c r="N47" s="103">
        <f t="shared" si="161"/>
        <v>0</v>
      </c>
      <c r="O47" s="103">
        <f t="shared" si="162"/>
        <v>-13</v>
      </c>
      <c r="P47" s="27"/>
      <c r="Q47" s="103">
        <f t="shared" si="163"/>
        <v>0</v>
      </c>
      <c r="R47" s="103">
        <f t="shared" si="164"/>
        <v>0</v>
      </c>
      <c r="S47" s="104">
        <f t="shared" si="165"/>
        <v>0</v>
      </c>
      <c r="T47" s="104">
        <f t="shared" si="166"/>
        <v>-22.75</v>
      </c>
      <c r="U47" s="18"/>
      <c r="V47" s="26"/>
      <c r="W47" s="21">
        <f>+G47+D47</f>
        <v>3.5830000000000002</v>
      </c>
      <c r="X47" s="21">
        <v>0.5</v>
      </c>
      <c r="Y47" s="21">
        <f>+IF(D47=0.667,-E47*F47*H47*W47*X47,0)</f>
        <v>0</v>
      </c>
      <c r="Z47" s="21">
        <f>+IF(D47=0.333,-E47*F47*H47*W47*X47,0)</f>
        <v>0.59656950000000009</v>
      </c>
      <c r="AA47" s="21">
        <f>+F47*G47*H47</f>
        <v>1.0822500000000002</v>
      </c>
      <c r="AB47" s="21">
        <f t="shared" ref="AB47" si="178">2*F47*W47*X47</f>
        <v>3.5830000000000002</v>
      </c>
      <c r="AC47" s="27"/>
      <c r="AD47" s="21"/>
      <c r="AE47" s="21">
        <f t="shared" ref="AE47" si="179">+IF(D47=0.667,AD47*W47*H47*F47,0)</f>
        <v>0</v>
      </c>
      <c r="AF47" s="21">
        <f t="shared" ref="AF47" si="180">+IF(D47=0.333,AD47*W47*H47*F47,0)</f>
        <v>0</v>
      </c>
      <c r="AG47" s="27"/>
      <c r="AH47" s="396"/>
      <c r="AI47" s="21">
        <f t="shared" si="167"/>
        <v>0</v>
      </c>
      <c r="AK47" s="301">
        <f t="shared" ref="AK47" si="181">+IF(D47=0.667,E47*F47*G47,0)</f>
        <v>0</v>
      </c>
      <c r="AL47" s="301">
        <f t="shared" ref="AL47" si="182">+IF(D47=0.333,E47*F47*G47,0)</f>
        <v>-3.25</v>
      </c>
      <c r="AM47" s="301"/>
      <c r="AN47" s="301">
        <f>+IF(D47=0.333,1.33,0)</f>
        <v>1.33</v>
      </c>
      <c r="AO47" s="299"/>
      <c r="AP47" s="301"/>
      <c r="AQ47" s="301"/>
      <c r="AT47" s="694">
        <f t="shared" si="24"/>
        <v>-3.25</v>
      </c>
    </row>
    <row r="48" spans="2:46" ht="20.100000000000001" customHeight="1" x14ac:dyDescent="0.3">
      <c r="B48" s="369"/>
      <c r="C48" s="370"/>
      <c r="D48" s="371"/>
      <c r="E48" s="369"/>
      <c r="F48" s="369"/>
      <c r="G48" s="371"/>
      <c r="H48" s="371"/>
      <c r="I48" s="374"/>
      <c r="J48" s="397"/>
      <c r="K48" s="398"/>
      <c r="L48" s="398"/>
      <c r="M48" s="397"/>
      <c r="N48" s="398"/>
      <c r="O48" s="398"/>
      <c r="P48" s="400"/>
      <c r="Q48" s="398"/>
      <c r="R48" s="398"/>
      <c r="S48" s="399"/>
      <c r="T48" s="399"/>
      <c r="U48" s="369"/>
      <c r="V48" s="373"/>
      <c r="W48" s="374"/>
      <c r="X48" s="374"/>
      <c r="Y48" s="374"/>
      <c r="Z48" s="374"/>
      <c r="AA48" s="374"/>
      <c r="AB48" s="374"/>
      <c r="AC48" s="400"/>
      <c r="AD48" s="374"/>
      <c r="AE48" s="374"/>
      <c r="AF48" s="374"/>
      <c r="AG48" s="400"/>
      <c r="AH48" s="401"/>
      <c r="AI48" s="374"/>
      <c r="AK48" s="378"/>
      <c r="AL48" s="378"/>
      <c r="AM48" s="378"/>
      <c r="AN48" s="378"/>
      <c r="AO48" s="374"/>
      <c r="AP48" s="378"/>
      <c r="AQ48" s="378"/>
      <c r="AT48" s="694">
        <f t="shared" si="24"/>
        <v>0</v>
      </c>
    </row>
    <row r="49" spans="2:46" ht="20.100000000000001" customHeight="1" x14ac:dyDescent="0.3">
      <c r="B49" s="92"/>
      <c r="C49" s="97" t="s">
        <v>345</v>
      </c>
      <c r="D49" s="92"/>
      <c r="E49" s="92"/>
      <c r="F49" s="92"/>
      <c r="G49" s="92"/>
      <c r="H49" s="92"/>
      <c r="I49" s="94"/>
      <c r="J49" s="92"/>
      <c r="K49" s="92"/>
      <c r="L49" s="92"/>
      <c r="M49" s="92"/>
      <c r="N49" s="92"/>
      <c r="O49" s="92"/>
      <c r="P49" s="95"/>
      <c r="Q49" s="92"/>
      <c r="R49" s="92"/>
      <c r="S49" s="92"/>
      <c r="T49" s="92"/>
      <c r="U49" s="92"/>
      <c r="V49" s="95"/>
      <c r="W49" s="92"/>
      <c r="X49" s="92"/>
      <c r="Y49" s="92"/>
      <c r="Z49" s="92"/>
      <c r="AA49" s="92"/>
      <c r="AB49" s="92"/>
      <c r="AC49" s="95"/>
      <c r="AD49" s="92"/>
      <c r="AE49" s="92"/>
      <c r="AF49" s="92"/>
      <c r="AG49" s="95"/>
      <c r="AH49" s="304"/>
      <c r="AI49" s="301"/>
      <c r="AK49" s="301"/>
      <c r="AL49" s="301"/>
      <c r="AM49" s="301"/>
      <c r="AN49" s="301"/>
      <c r="AO49" s="299"/>
      <c r="AP49" s="301"/>
      <c r="AQ49" s="301"/>
      <c r="AT49" s="694">
        <f t="shared" si="24"/>
        <v>0</v>
      </c>
    </row>
    <row r="50" spans="2:46" ht="19.5" customHeight="1" x14ac:dyDescent="0.3">
      <c r="B50" s="18"/>
      <c r="C50" s="62" t="s">
        <v>33</v>
      </c>
      <c r="D50" s="298">
        <v>0.66700000000000004</v>
      </c>
      <c r="E50" s="689">
        <f>1*0</f>
        <v>0</v>
      </c>
      <c r="F50" s="689">
        <f>1*0</f>
        <v>0</v>
      </c>
      <c r="G50" s="20">
        <f>+(2.921)*3.281</f>
        <v>9.5838009999999993</v>
      </c>
      <c r="H50" s="20">
        <f t="shared" ref="H50:H53" si="183">+D50</f>
        <v>0.66700000000000004</v>
      </c>
      <c r="I50" s="94">
        <v>2</v>
      </c>
      <c r="J50" s="81">
        <f>3</f>
        <v>3</v>
      </c>
      <c r="K50" s="103">
        <f t="shared" ref="K50:K53" si="184">+IF(D50=0.667,E50*F50*G50*H50*J50,0)</f>
        <v>0</v>
      </c>
      <c r="L50" s="103">
        <f t="shared" ref="L50:L53" si="185">+IF(D50=0.333,E50*F50*G50*J50,0)</f>
        <v>0</v>
      </c>
      <c r="M50" s="81">
        <v>4</v>
      </c>
      <c r="N50" s="103">
        <f t="shared" ref="N50:N53" si="186">+IF(D50=0.667,E50*F50*G50*H50*M50,0)</f>
        <v>0</v>
      </c>
      <c r="O50" s="103">
        <f t="shared" ref="O50:O53" si="187">+IF(D50=0.333,E50*F50*G50*M50,0)</f>
        <v>0</v>
      </c>
      <c r="P50" s="27">
        <f>11.833-I50-M50-J50</f>
        <v>2.8330000000000002</v>
      </c>
      <c r="Q50" s="103">
        <f t="shared" ref="Q50:Q53" si="188">+IF(D50=0.667,E50*F50*G50*H50*P50,0)</f>
        <v>0</v>
      </c>
      <c r="R50" s="103">
        <f t="shared" ref="R50:R53" si="189">+IF(D50=0.333,E50*F50*G50*P50,0)</f>
        <v>0</v>
      </c>
      <c r="S50" s="104">
        <f t="shared" ref="S50:S53" si="190">+Q50+N50+K50</f>
        <v>0</v>
      </c>
      <c r="T50" s="104">
        <f t="shared" ref="T50:T53" si="191">+R50+O50+L50</f>
        <v>0</v>
      </c>
      <c r="U50" s="18"/>
      <c r="V50" s="26"/>
      <c r="W50" s="21"/>
      <c r="X50" s="21"/>
      <c r="Y50" s="21"/>
      <c r="Z50" s="21"/>
      <c r="AA50" s="21"/>
      <c r="AB50" s="21"/>
      <c r="AC50" s="27"/>
      <c r="AD50" s="21"/>
      <c r="AE50" s="21"/>
      <c r="AF50" s="21"/>
      <c r="AG50" s="27"/>
      <c r="AH50" s="396">
        <v>1</v>
      </c>
      <c r="AI50" s="21">
        <f t="shared" ref="AI50:AI53" si="192">+AH50*G50*D50*0.17</f>
        <v>1.08670719539</v>
      </c>
      <c r="AK50" s="301">
        <f>+IF(D50=0.667,E50*F50*G50,0)</f>
        <v>0</v>
      </c>
      <c r="AL50" s="301">
        <f>+IF(D50=0.333,E50*F50*G50,0)</f>
        <v>0</v>
      </c>
      <c r="AM50" s="301"/>
      <c r="AN50" s="301"/>
      <c r="AO50" s="299"/>
      <c r="AP50" s="301"/>
      <c r="AQ50" s="301"/>
      <c r="AT50" s="694">
        <f t="shared" si="24"/>
        <v>0</v>
      </c>
    </row>
    <row r="51" spans="2:46" ht="20.100000000000001" customHeight="1" x14ac:dyDescent="0.3">
      <c r="B51" s="18"/>
      <c r="C51" s="62" t="s">
        <v>34</v>
      </c>
      <c r="D51" s="98">
        <v>0.66700000000000004</v>
      </c>
      <c r="E51" s="689">
        <f>-1*0</f>
        <v>0</v>
      </c>
      <c r="F51" s="689">
        <f>2*0</f>
        <v>0</v>
      </c>
      <c r="G51" s="20">
        <v>3.25</v>
      </c>
      <c r="H51" s="20">
        <f t="shared" si="183"/>
        <v>0.66700000000000004</v>
      </c>
      <c r="I51" s="21"/>
      <c r="J51" s="81">
        <v>3</v>
      </c>
      <c r="K51" s="103">
        <f t="shared" si="184"/>
        <v>0</v>
      </c>
      <c r="L51" s="103">
        <f t="shared" si="185"/>
        <v>0</v>
      </c>
      <c r="M51" s="81">
        <v>4</v>
      </c>
      <c r="N51" s="103">
        <f t="shared" si="186"/>
        <v>0</v>
      </c>
      <c r="O51" s="103">
        <f t="shared" si="187"/>
        <v>0</v>
      </c>
      <c r="P51" s="27"/>
      <c r="Q51" s="103">
        <f t="shared" si="188"/>
        <v>0</v>
      </c>
      <c r="R51" s="103">
        <f t="shared" si="189"/>
        <v>0</v>
      </c>
      <c r="S51" s="104">
        <f t="shared" si="190"/>
        <v>0</v>
      </c>
      <c r="T51" s="104">
        <f t="shared" si="191"/>
        <v>0</v>
      </c>
      <c r="U51" s="18"/>
      <c r="V51" s="26"/>
      <c r="W51" s="21">
        <f>+G51+D51</f>
        <v>3.9169999999999998</v>
      </c>
      <c r="X51" s="21">
        <v>0.5</v>
      </c>
      <c r="Y51" s="21">
        <f>+IF(D51=0.667,-E51*F51*H51*W51*X51,0)</f>
        <v>0</v>
      </c>
      <c r="Z51" s="21">
        <f>+IF(D51=0.333,-E51*F51*H51*W51*X51,0)</f>
        <v>0</v>
      </c>
      <c r="AA51" s="21">
        <f>+F51*G51*H51</f>
        <v>0</v>
      </c>
      <c r="AB51" s="21">
        <f t="shared" ref="AB51" si="193">2*F51*W51*X51</f>
        <v>0</v>
      </c>
      <c r="AC51" s="27"/>
      <c r="AD51" s="21"/>
      <c r="AE51" s="21">
        <f t="shared" ref="AE51" si="194">+IF(D51=0.667,AD51*W51*H51*F51,0)</f>
        <v>0</v>
      </c>
      <c r="AF51" s="21">
        <f t="shared" ref="AF51" si="195">+IF(D51=0.333,AD51*W51*H51*F51,0)</f>
        <v>0</v>
      </c>
      <c r="AG51" s="27"/>
      <c r="AH51" s="396"/>
      <c r="AI51" s="21">
        <f t="shared" si="192"/>
        <v>0</v>
      </c>
      <c r="AK51" s="301">
        <f t="shared" ref="AK51" si="196">+IF(D51=0.667,E51*F51*G51,0)</f>
        <v>0</v>
      </c>
      <c r="AL51" s="301">
        <f t="shared" ref="AL51" si="197">+IF(D51=0.333,E51*F51*G51,0)</f>
        <v>0</v>
      </c>
      <c r="AM51" s="450">
        <f>+IF(D51=0.667,1.33,0)*0</f>
        <v>0</v>
      </c>
      <c r="AN51" s="301">
        <f>+IF(D51=0.333,1.33,0)</f>
        <v>0</v>
      </c>
      <c r="AO51" s="299"/>
      <c r="AP51" s="301"/>
      <c r="AQ51" s="301"/>
      <c r="AT51" s="694">
        <f t="shared" si="24"/>
        <v>0</v>
      </c>
    </row>
    <row r="52" spans="2:46" ht="19.5" customHeight="1" x14ac:dyDescent="0.3">
      <c r="B52" s="18"/>
      <c r="C52" s="62" t="s">
        <v>31</v>
      </c>
      <c r="D52" s="298">
        <v>0.66700000000000004</v>
      </c>
      <c r="E52" s="18">
        <f>1</f>
        <v>1</v>
      </c>
      <c r="F52" s="18">
        <f>1</f>
        <v>1</v>
      </c>
      <c r="G52" s="556">
        <f>+(4.303+3.781)*3.281</f>
        <v>26.523603999999999</v>
      </c>
      <c r="H52" s="20">
        <f t="shared" si="183"/>
        <v>0.66700000000000004</v>
      </c>
      <c r="I52" s="94">
        <v>2</v>
      </c>
      <c r="J52" s="81">
        <f>3</f>
        <v>3</v>
      </c>
      <c r="K52" s="103">
        <f t="shared" si="184"/>
        <v>53.073731604000002</v>
      </c>
      <c r="L52" s="103">
        <f t="shared" si="185"/>
        <v>0</v>
      </c>
      <c r="M52" s="81">
        <v>4</v>
      </c>
      <c r="N52" s="103">
        <f t="shared" si="186"/>
        <v>70.764975472000003</v>
      </c>
      <c r="O52" s="103">
        <f t="shared" si="187"/>
        <v>0</v>
      </c>
      <c r="P52" s="27">
        <f>11.833-I52-M52-J52</f>
        <v>2.8330000000000002</v>
      </c>
      <c r="Q52" s="103">
        <f t="shared" si="188"/>
        <v>50.119293878044004</v>
      </c>
      <c r="R52" s="103">
        <f t="shared" si="189"/>
        <v>0</v>
      </c>
      <c r="S52" s="104">
        <f t="shared" si="190"/>
        <v>173.958000954044</v>
      </c>
      <c r="T52" s="104">
        <f t="shared" si="191"/>
        <v>0</v>
      </c>
      <c r="U52" s="18"/>
      <c r="V52" s="26"/>
      <c r="W52" s="21"/>
      <c r="X52" s="21"/>
      <c r="Y52" s="21"/>
      <c r="Z52" s="21"/>
      <c r="AA52" s="21"/>
      <c r="AB52" s="21"/>
      <c r="AC52" s="27"/>
      <c r="AD52" s="21"/>
      <c r="AE52" s="21"/>
      <c r="AF52" s="21"/>
      <c r="AG52" s="27"/>
      <c r="AH52" s="396">
        <v>1</v>
      </c>
      <c r="AI52" s="21">
        <f t="shared" si="192"/>
        <v>3.0075114575600002</v>
      </c>
      <c r="AK52" s="301">
        <f>+IF(D52=0.667,E52*F52*G52,0)</f>
        <v>26.523603999999999</v>
      </c>
      <c r="AL52" s="301">
        <f>+IF(D52=0.333,E52*F52*G52,0)</f>
        <v>0</v>
      </c>
      <c r="AM52" s="301"/>
      <c r="AN52" s="301"/>
      <c r="AO52" s="299"/>
      <c r="AP52" s="301"/>
      <c r="AQ52" s="301"/>
      <c r="AT52" s="694">
        <f t="shared" si="24"/>
        <v>26.523603999999999</v>
      </c>
    </row>
    <row r="53" spans="2:46" ht="20.100000000000001" customHeight="1" x14ac:dyDescent="0.3">
      <c r="B53" s="18"/>
      <c r="C53" s="62" t="s">
        <v>48</v>
      </c>
      <c r="D53" s="298">
        <v>0.66700000000000004</v>
      </c>
      <c r="E53" s="18">
        <v>-1</v>
      </c>
      <c r="F53" s="18">
        <v>1</v>
      </c>
      <c r="G53" s="556">
        <v>5</v>
      </c>
      <c r="H53" s="20">
        <f t="shared" si="183"/>
        <v>0.66700000000000004</v>
      </c>
      <c r="I53" s="21"/>
      <c r="J53" s="81"/>
      <c r="K53" s="103">
        <f t="shared" si="184"/>
        <v>0</v>
      </c>
      <c r="L53" s="103">
        <f t="shared" si="185"/>
        <v>0</v>
      </c>
      <c r="M53" s="81">
        <v>2.25</v>
      </c>
      <c r="N53" s="103">
        <f t="shared" si="186"/>
        <v>-7.5037500000000001</v>
      </c>
      <c r="O53" s="103">
        <f t="shared" si="187"/>
        <v>0</v>
      </c>
      <c r="P53" s="27"/>
      <c r="Q53" s="103">
        <f t="shared" si="188"/>
        <v>0</v>
      </c>
      <c r="R53" s="103">
        <f t="shared" si="189"/>
        <v>0</v>
      </c>
      <c r="S53" s="104">
        <f t="shared" si="190"/>
        <v>-7.5037500000000001</v>
      </c>
      <c r="T53" s="104">
        <f t="shared" si="191"/>
        <v>0</v>
      </c>
      <c r="U53" s="18"/>
      <c r="V53" s="26"/>
      <c r="W53" s="21">
        <f>+G53+D53</f>
        <v>5.6669999999999998</v>
      </c>
      <c r="X53" s="21">
        <v>0.5</v>
      </c>
      <c r="Y53" s="21">
        <f>+IF(D53=0.667,-E53*F53*H53*W53*X53,0)</f>
        <v>1.8899445000000001</v>
      </c>
      <c r="Z53" s="21">
        <f>+IF(D53=0.333,-E53*F53*H53*W53*X53,0)</f>
        <v>0</v>
      </c>
      <c r="AA53" s="21">
        <f>+F53*G53*H53</f>
        <v>3.335</v>
      </c>
      <c r="AB53" s="21">
        <f t="shared" ref="AB53" si="198">2*F53*W53*X53</f>
        <v>5.6669999999999998</v>
      </c>
      <c r="AC53" s="27"/>
      <c r="AD53" s="21">
        <v>0.16700000000000001</v>
      </c>
      <c r="AE53" s="21">
        <f t="shared" ref="AE53" si="199">+IF(D53=0.667,AD53*W53*H53*F53,0)</f>
        <v>0.63124146300000006</v>
      </c>
      <c r="AF53" s="21">
        <f t="shared" ref="AF53" si="200">+IF(D53=0.333,AD53*W53*H53*F53,0)</f>
        <v>0</v>
      </c>
      <c r="AG53" s="27"/>
      <c r="AH53" s="396"/>
      <c r="AI53" s="21">
        <f t="shared" si="192"/>
        <v>0</v>
      </c>
      <c r="AK53" s="301"/>
      <c r="AL53" s="301"/>
      <c r="AM53" s="301"/>
      <c r="AN53" s="301"/>
      <c r="AO53" s="299"/>
      <c r="AP53" s="301"/>
      <c r="AQ53" s="301"/>
      <c r="AT53" s="694">
        <f t="shared" si="24"/>
        <v>-5</v>
      </c>
    </row>
    <row r="54" spans="2:46" ht="19.5" customHeight="1" x14ac:dyDescent="0.3">
      <c r="B54" s="18"/>
      <c r="C54" s="62" t="s">
        <v>32</v>
      </c>
      <c r="D54" s="298">
        <v>0.66700000000000004</v>
      </c>
      <c r="E54" s="18">
        <v>1</v>
      </c>
      <c r="F54" s="18">
        <v>1</v>
      </c>
      <c r="G54" s="556">
        <f>+(7.23)*3.281</f>
        <v>23.721630000000001</v>
      </c>
      <c r="H54" s="20">
        <f t="shared" ref="H54:H57" si="201">+D54</f>
        <v>0.66700000000000004</v>
      </c>
      <c r="I54" s="94">
        <v>2</v>
      </c>
      <c r="J54" s="81">
        <f>3</f>
        <v>3</v>
      </c>
      <c r="K54" s="103">
        <f t="shared" ref="K54:K57" si="202">+IF(D54=0.667,E54*F54*G54*H54*J54,0)</f>
        <v>47.466981630000006</v>
      </c>
      <c r="L54" s="103">
        <f t="shared" ref="L54:L57" si="203">+IF(D54=0.333,E54*F54*G54*J54,0)</f>
        <v>0</v>
      </c>
      <c r="M54" s="81">
        <v>4</v>
      </c>
      <c r="N54" s="103">
        <f t="shared" ref="N54:N57" si="204">+IF(D54=0.667,E54*F54*G54*H54*M54,0)</f>
        <v>63.289308840000004</v>
      </c>
      <c r="O54" s="103">
        <f t="shared" ref="O54:O57" si="205">+IF(D54=0.333,E54*F54*G54*M54,0)</f>
        <v>0</v>
      </c>
      <c r="P54" s="27">
        <f>11.833-I54-M54-J54</f>
        <v>2.8330000000000002</v>
      </c>
      <c r="Q54" s="103">
        <f t="shared" ref="Q54:Q57" si="206">+IF(D54=0.667,E54*F54*G54*H54*P54,0)</f>
        <v>44.824652985930008</v>
      </c>
      <c r="R54" s="103">
        <f t="shared" ref="R54:R57" si="207">+IF(D54=0.333,E54*F54*G54*P54,0)</f>
        <v>0</v>
      </c>
      <c r="S54" s="104">
        <f t="shared" ref="S54:S57" si="208">+Q54+N54+K54</f>
        <v>155.58094345593003</v>
      </c>
      <c r="T54" s="104">
        <f t="shared" ref="T54:T57" si="209">+R54+O54+L54</f>
        <v>0</v>
      </c>
      <c r="U54" s="18"/>
      <c r="V54" s="26"/>
      <c r="W54" s="21"/>
      <c r="X54" s="21"/>
      <c r="Y54" s="21"/>
      <c r="Z54" s="21"/>
      <c r="AA54" s="21"/>
      <c r="AB54" s="21"/>
      <c r="AC54" s="27"/>
      <c r="AD54" s="21"/>
      <c r="AE54" s="21"/>
      <c r="AF54" s="21"/>
      <c r="AG54" s="27"/>
      <c r="AH54" s="396">
        <v>1</v>
      </c>
      <c r="AI54" s="21">
        <f t="shared" ref="AI54:AI57" si="210">+AH54*G54*D54*0.17</f>
        <v>2.6897956257000004</v>
      </c>
      <c r="AK54" s="301">
        <f>+IF(D54=0.667,E54*F54*G54,0)</f>
        <v>23.721630000000001</v>
      </c>
      <c r="AL54" s="301">
        <f>+IF(D54=0.333,E54*F54*G54,0)</f>
        <v>0</v>
      </c>
      <c r="AM54" s="301"/>
      <c r="AN54" s="301"/>
      <c r="AO54" s="299"/>
      <c r="AP54" s="301"/>
      <c r="AQ54" s="301"/>
      <c r="AT54" s="694">
        <f t="shared" si="24"/>
        <v>23.721630000000001</v>
      </c>
    </row>
    <row r="55" spans="2:46" ht="19.5" customHeight="1" x14ac:dyDescent="0.3">
      <c r="B55" s="677"/>
      <c r="C55" s="62" t="s">
        <v>562</v>
      </c>
      <c r="D55" s="298">
        <v>0.66700000000000004</v>
      </c>
      <c r="E55" s="18">
        <v>-1</v>
      </c>
      <c r="F55" s="18">
        <v>1</v>
      </c>
      <c r="G55" s="555">
        <v>3.3330000000000002</v>
      </c>
      <c r="H55" s="20">
        <f t="shared" si="201"/>
        <v>0.66700000000000004</v>
      </c>
      <c r="I55" s="21"/>
      <c r="J55" s="81"/>
      <c r="K55" s="103">
        <f t="shared" si="202"/>
        <v>0</v>
      </c>
      <c r="L55" s="103">
        <f t="shared" si="203"/>
        <v>0</v>
      </c>
      <c r="M55" s="81"/>
      <c r="N55" s="103">
        <f t="shared" si="204"/>
        <v>0</v>
      </c>
      <c r="O55" s="103">
        <f t="shared" si="205"/>
        <v>0</v>
      </c>
      <c r="P55" s="81">
        <f>2*3.28</f>
        <v>6.56</v>
      </c>
      <c r="Q55" s="103">
        <f t="shared" si="206"/>
        <v>-14.583608160000001</v>
      </c>
      <c r="R55" s="103">
        <f t="shared" si="207"/>
        <v>0</v>
      </c>
      <c r="S55" s="104">
        <f t="shared" si="208"/>
        <v>-14.583608160000001</v>
      </c>
      <c r="T55" s="104">
        <f t="shared" si="209"/>
        <v>0</v>
      </c>
      <c r="U55" s="677"/>
      <c r="V55" s="682"/>
      <c r="W55" s="21">
        <f>+G55+D55</f>
        <v>4</v>
      </c>
      <c r="X55" s="21">
        <v>0.5</v>
      </c>
      <c r="Y55" s="21">
        <f>+IF(D55=0.667,-E55*F55*H55*W55*X55,0)</f>
        <v>1.3340000000000001</v>
      </c>
      <c r="Z55" s="21">
        <f>+IF(D55=0.333,-E55*F55*H55*W55*X55,0)</f>
        <v>0</v>
      </c>
      <c r="AA55" s="21">
        <f>+F55*G55*H55</f>
        <v>2.2231110000000003</v>
      </c>
      <c r="AB55" s="21">
        <f t="shared" ref="AB55" si="211">2*F55*W55*X55</f>
        <v>4</v>
      </c>
      <c r="AC55" s="27"/>
      <c r="AD55" s="21">
        <v>0.16700000000000001</v>
      </c>
      <c r="AE55" s="21">
        <f t="shared" ref="AE55" si="212">+IF(D55=0.667,AD55*W55*H55*F55,0)</f>
        <v>0.44555600000000006</v>
      </c>
      <c r="AF55" s="21">
        <f t="shared" ref="AF55" si="213">+IF(D55=0.333,AD55*W55*H55*F55,0)</f>
        <v>0</v>
      </c>
      <c r="AG55" s="27"/>
      <c r="AH55" s="396"/>
      <c r="AI55" s="21">
        <f t="shared" si="210"/>
        <v>0</v>
      </c>
      <c r="AK55" s="301"/>
      <c r="AL55" s="301"/>
      <c r="AM55" s="301"/>
      <c r="AN55" s="301"/>
      <c r="AO55" s="299"/>
      <c r="AP55" s="301"/>
      <c r="AQ55" s="301"/>
      <c r="AT55" s="694">
        <f t="shared" si="24"/>
        <v>-3.3330000000000002</v>
      </c>
    </row>
    <row r="56" spans="2:46" ht="20.100000000000001" customHeight="1" x14ac:dyDescent="0.3">
      <c r="B56" s="18"/>
      <c r="C56" s="62" t="s">
        <v>48</v>
      </c>
      <c r="D56" s="298">
        <v>0.66700000000000004</v>
      </c>
      <c r="E56" s="18">
        <v>-1</v>
      </c>
      <c r="F56" s="18">
        <v>1</v>
      </c>
      <c r="G56" s="556">
        <v>5</v>
      </c>
      <c r="H56" s="20">
        <f t="shared" si="201"/>
        <v>0.66700000000000004</v>
      </c>
      <c r="I56" s="21"/>
      <c r="J56" s="81"/>
      <c r="K56" s="103">
        <f t="shared" si="202"/>
        <v>0</v>
      </c>
      <c r="L56" s="103">
        <f t="shared" si="203"/>
        <v>0</v>
      </c>
      <c r="M56" s="81">
        <v>2.25</v>
      </c>
      <c r="N56" s="103">
        <f t="shared" si="204"/>
        <v>-7.5037500000000001</v>
      </c>
      <c r="O56" s="103">
        <f t="shared" si="205"/>
        <v>0</v>
      </c>
      <c r="P56" s="27"/>
      <c r="Q56" s="103">
        <f t="shared" si="206"/>
        <v>0</v>
      </c>
      <c r="R56" s="103">
        <f t="shared" si="207"/>
        <v>0</v>
      </c>
      <c r="S56" s="104">
        <f t="shared" si="208"/>
        <v>-7.5037500000000001</v>
      </c>
      <c r="T56" s="104">
        <f t="shared" si="209"/>
        <v>0</v>
      </c>
      <c r="U56" s="18"/>
      <c r="V56" s="26"/>
      <c r="W56" s="21">
        <f>+G56+D56</f>
        <v>5.6669999999999998</v>
      </c>
      <c r="X56" s="21">
        <v>0.5</v>
      </c>
      <c r="Y56" s="21">
        <f>+IF(D56=0.667,-E56*F56*H56*W56*X56,0)</f>
        <v>1.8899445000000001</v>
      </c>
      <c r="Z56" s="21">
        <f>+IF(D56=0.333,-E56*F56*H56*W56*X56,0)</f>
        <v>0</v>
      </c>
      <c r="AA56" s="21">
        <f>+F56*G56*H56</f>
        <v>3.335</v>
      </c>
      <c r="AB56" s="21">
        <f t="shared" ref="AB56:AB57" si="214">2*F56*W56*X56</f>
        <v>5.6669999999999998</v>
      </c>
      <c r="AC56" s="27"/>
      <c r="AD56" s="21">
        <v>0.16700000000000001</v>
      </c>
      <c r="AE56" s="21">
        <f t="shared" ref="AE56:AE57" si="215">+IF(D56=0.667,AD56*W56*H56*F56,0)</f>
        <v>0.63124146300000006</v>
      </c>
      <c r="AF56" s="21">
        <f t="shared" ref="AF56:AF57" si="216">+IF(D56=0.333,AD56*W56*H56*F56,0)</f>
        <v>0</v>
      </c>
      <c r="AG56" s="27"/>
      <c r="AH56" s="396"/>
      <c r="AI56" s="21">
        <f t="shared" si="210"/>
        <v>0</v>
      </c>
      <c r="AK56" s="301"/>
      <c r="AL56" s="301"/>
      <c r="AM56" s="301"/>
      <c r="AN56" s="301"/>
      <c r="AO56" s="299"/>
      <c r="AP56" s="301"/>
      <c r="AQ56" s="301"/>
      <c r="AT56" s="694">
        <f t="shared" si="24"/>
        <v>-5</v>
      </c>
    </row>
    <row r="57" spans="2:46" ht="20.100000000000001" customHeight="1" x14ac:dyDescent="0.3">
      <c r="B57" s="18"/>
      <c r="C57" s="62" t="s">
        <v>246</v>
      </c>
      <c r="D57" s="298">
        <v>0.66700000000000004</v>
      </c>
      <c r="E57" s="18">
        <v>-1</v>
      </c>
      <c r="F57" s="18">
        <v>1</v>
      </c>
      <c r="G57" s="556">
        <v>2</v>
      </c>
      <c r="H57" s="20">
        <f t="shared" si="201"/>
        <v>0.66700000000000004</v>
      </c>
      <c r="I57" s="21"/>
      <c r="J57" s="81"/>
      <c r="K57" s="103">
        <f t="shared" si="202"/>
        <v>0</v>
      </c>
      <c r="L57" s="103">
        <f t="shared" si="203"/>
        <v>0</v>
      </c>
      <c r="M57" s="81">
        <v>0</v>
      </c>
      <c r="N57" s="103">
        <f t="shared" si="204"/>
        <v>0</v>
      </c>
      <c r="O57" s="103">
        <f t="shared" si="205"/>
        <v>0</v>
      </c>
      <c r="P57" s="27">
        <v>2</v>
      </c>
      <c r="Q57" s="103">
        <f t="shared" si="206"/>
        <v>-2.6680000000000001</v>
      </c>
      <c r="R57" s="103">
        <f t="shared" si="207"/>
        <v>0</v>
      </c>
      <c r="S57" s="104">
        <f t="shared" si="208"/>
        <v>-2.6680000000000001</v>
      </c>
      <c r="T57" s="104">
        <f t="shared" si="209"/>
        <v>0</v>
      </c>
      <c r="U57" s="18"/>
      <c r="V57" s="26"/>
      <c r="W57" s="21">
        <f>+G57+D57</f>
        <v>2.6669999999999998</v>
      </c>
      <c r="X57" s="21">
        <v>0.5</v>
      </c>
      <c r="Y57" s="21">
        <f>+IF(D57=0.667,-E57*F57*H57*W57*X57,0)</f>
        <v>0.88944449999999997</v>
      </c>
      <c r="Z57" s="21">
        <f>+IF(D57=0.333,-E57*F57*H57*W57*X57,0)</f>
        <v>0</v>
      </c>
      <c r="AA57" s="21">
        <f>+F57*G57*H57</f>
        <v>1.3340000000000001</v>
      </c>
      <c r="AB57" s="21">
        <f t="shared" si="214"/>
        <v>2.6669999999999998</v>
      </c>
      <c r="AC57" s="27"/>
      <c r="AD57" s="21">
        <v>0.16700000000000001</v>
      </c>
      <c r="AE57" s="21">
        <f t="shared" si="215"/>
        <v>0.29707446300000001</v>
      </c>
      <c r="AF57" s="21">
        <f t="shared" si="216"/>
        <v>0</v>
      </c>
      <c r="AG57" s="27"/>
      <c r="AH57" s="396"/>
      <c r="AI57" s="21">
        <f t="shared" si="210"/>
        <v>0</v>
      </c>
      <c r="AK57" s="301"/>
      <c r="AL57" s="301"/>
      <c r="AM57" s="301"/>
      <c r="AN57" s="301"/>
      <c r="AO57" s="299"/>
      <c r="AP57" s="301"/>
      <c r="AQ57" s="301"/>
      <c r="AT57" s="694">
        <f t="shared" si="24"/>
        <v>-2</v>
      </c>
    </row>
    <row r="58" spans="2:46" ht="19.5" customHeight="1" x14ac:dyDescent="0.3">
      <c r="B58" s="18"/>
      <c r="C58" s="62" t="s">
        <v>43</v>
      </c>
      <c r="D58" s="298">
        <v>0.66700000000000004</v>
      </c>
      <c r="E58" s="689">
        <f>1*0</f>
        <v>0</v>
      </c>
      <c r="F58" s="689">
        <f>1*0</f>
        <v>0</v>
      </c>
      <c r="G58" s="20">
        <f>+(1.274+2.075+1.274)*3.281</f>
        <v>15.168063000000002</v>
      </c>
      <c r="H58" s="20">
        <f t="shared" ref="H58:H60" si="217">+D58</f>
        <v>0.66700000000000004</v>
      </c>
      <c r="I58" s="94">
        <v>2</v>
      </c>
      <c r="J58" s="81">
        <f>3</f>
        <v>3</v>
      </c>
      <c r="K58" s="103">
        <f t="shared" ref="K58:K60" si="218">+IF(D58=0.667,E58*F58*G58*H58*J58,0)</f>
        <v>0</v>
      </c>
      <c r="L58" s="103">
        <f t="shared" ref="L58:L60" si="219">+IF(D58=0.333,E58*F58*G58*J58,0)</f>
        <v>0</v>
      </c>
      <c r="M58" s="81">
        <v>4</v>
      </c>
      <c r="N58" s="103">
        <f t="shared" ref="N58:N60" si="220">+IF(D58=0.667,E58*F58*G58*H58*M58,0)</f>
        <v>0</v>
      </c>
      <c r="O58" s="103">
        <f t="shared" ref="O58:O60" si="221">+IF(D58=0.333,E58*F58*G58*M58,0)</f>
        <v>0</v>
      </c>
      <c r="P58" s="27">
        <f>11.833-I58-M58-J58</f>
        <v>2.8330000000000002</v>
      </c>
      <c r="Q58" s="103">
        <f t="shared" ref="Q58:Q60" si="222">+IF(D58=0.667,E58*F58*G58*H58*P58,0)</f>
        <v>0</v>
      </c>
      <c r="R58" s="103">
        <f t="shared" ref="R58:R60" si="223">+IF(D58=0.333,E58*F58*G58*P58,0)</f>
        <v>0</v>
      </c>
      <c r="S58" s="104">
        <f t="shared" ref="S58:S69" si="224">+Q58+N58+K58</f>
        <v>0</v>
      </c>
      <c r="T58" s="104">
        <f t="shared" ref="T58:T69" si="225">+R58+O58+L58</f>
        <v>0</v>
      </c>
      <c r="U58" s="18"/>
      <c r="V58" s="26"/>
      <c r="W58" s="21"/>
      <c r="X58" s="21"/>
      <c r="Y58" s="21"/>
      <c r="Z58" s="21"/>
      <c r="AA58" s="21"/>
      <c r="AB58" s="21"/>
      <c r="AC58" s="27"/>
      <c r="AD58" s="21"/>
      <c r="AE58" s="21"/>
      <c r="AF58" s="21"/>
      <c r="AG58" s="27"/>
      <c r="AH58" s="396">
        <v>1</v>
      </c>
      <c r="AI58" s="21">
        <f t="shared" ref="AI58:AI60" si="226">+AH58*G58*D58*0.17</f>
        <v>1.7199066635700004</v>
      </c>
      <c r="AK58" s="301">
        <f>+IF(D58=0.667,E58*F58*G58,0)</f>
        <v>0</v>
      </c>
      <c r="AL58" s="301">
        <f>+IF(D58=0.333,E58*F58*G58,0)</f>
        <v>0</v>
      </c>
      <c r="AM58" s="301"/>
      <c r="AN58" s="301"/>
      <c r="AO58" s="299"/>
      <c r="AP58" s="301"/>
      <c r="AQ58" s="301"/>
      <c r="AT58" s="694">
        <f t="shared" si="24"/>
        <v>0</v>
      </c>
    </row>
    <row r="59" spans="2:46" ht="20.100000000000001" customHeight="1" x14ac:dyDescent="0.3">
      <c r="B59" s="18"/>
      <c r="C59" s="62" t="s">
        <v>246</v>
      </c>
      <c r="D59" s="298">
        <v>0.66700000000000004</v>
      </c>
      <c r="E59" s="689">
        <f>-1*0</f>
        <v>0</v>
      </c>
      <c r="F59" s="689">
        <f>2*0</f>
        <v>0</v>
      </c>
      <c r="G59" s="20">
        <v>2</v>
      </c>
      <c r="H59" s="20">
        <f t="shared" si="217"/>
        <v>0.66700000000000004</v>
      </c>
      <c r="I59" s="21"/>
      <c r="J59" s="81"/>
      <c r="K59" s="103">
        <f t="shared" si="218"/>
        <v>0</v>
      </c>
      <c r="L59" s="103">
        <f t="shared" si="219"/>
        <v>0</v>
      </c>
      <c r="M59" s="81">
        <v>0</v>
      </c>
      <c r="N59" s="103">
        <f t="shared" si="220"/>
        <v>0</v>
      </c>
      <c r="O59" s="103">
        <f t="shared" si="221"/>
        <v>0</v>
      </c>
      <c r="P59" s="27">
        <v>2</v>
      </c>
      <c r="Q59" s="103">
        <f t="shared" si="222"/>
        <v>0</v>
      </c>
      <c r="R59" s="103">
        <f t="shared" si="223"/>
        <v>0</v>
      </c>
      <c r="S59" s="104">
        <f t="shared" si="224"/>
        <v>0</v>
      </c>
      <c r="T59" s="104">
        <f t="shared" si="225"/>
        <v>0</v>
      </c>
      <c r="U59" s="18"/>
      <c r="V59" s="26"/>
      <c r="W59" s="21">
        <f>+G59+D59</f>
        <v>2.6669999999999998</v>
      </c>
      <c r="X59" s="21">
        <v>0.5</v>
      </c>
      <c r="Y59" s="21">
        <f>+IF(D59=0.667,-E59*F59*H59*W59*X59,0)</f>
        <v>0</v>
      </c>
      <c r="Z59" s="21">
        <f>+IF(D59=0.333,-E59*F59*H59*W59*X59,0)</f>
        <v>0</v>
      </c>
      <c r="AA59" s="21">
        <f>+F59*G59*H59</f>
        <v>0</v>
      </c>
      <c r="AB59" s="21">
        <f t="shared" ref="AB59" si="227">2*F59*W59*X59</f>
        <v>0</v>
      </c>
      <c r="AC59" s="27"/>
      <c r="AD59" s="21">
        <v>0.16700000000000001</v>
      </c>
      <c r="AE59" s="21">
        <f t="shared" ref="AE59" si="228">+IF(D59=0.667,AD59*W59*H59*F59,0)</f>
        <v>0</v>
      </c>
      <c r="AF59" s="21">
        <f t="shared" ref="AF59" si="229">+IF(D59=0.333,AD59*W59*H59*F59,0)</f>
        <v>0</v>
      </c>
      <c r="AG59" s="27"/>
      <c r="AH59" s="396"/>
      <c r="AI59" s="21">
        <f t="shared" si="226"/>
        <v>0</v>
      </c>
      <c r="AK59" s="301"/>
      <c r="AL59" s="301"/>
      <c r="AM59" s="301"/>
      <c r="AN59" s="301"/>
      <c r="AO59" s="299"/>
      <c r="AP59" s="301"/>
      <c r="AQ59" s="301"/>
      <c r="AT59" s="694">
        <f t="shared" si="24"/>
        <v>0</v>
      </c>
    </row>
    <row r="60" spans="2:46" ht="19.5" customHeight="1" x14ac:dyDescent="0.3">
      <c r="B60" s="18"/>
      <c r="C60" s="62" t="s">
        <v>38</v>
      </c>
      <c r="D60" s="298">
        <v>0.66700000000000004</v>
      </c>
      <c r="E60" s="689">
        <f t="shared" ref="E60:F62" si="230">1*0</f>
        <v>0</v>
      </c>
      <c r="F60" s="689">
        <f t="shared" si="230"/>
        <v>0</v>
      </c>
      <c r="G60" s="20">
        <f>(7.197)*3.281</f>
        <v>23.613357000000001</v>
      </c>
      <c r="H60" s="20">
        <f t="shared" si="217"/>
        <v>0.66700000000000004</v>
      </c>
      <c r="I60" s="94">
        <v>2</v>
      </c>
      <c r="J60" s="81">
        <f>3</f>
        <v>3</v>
      </c>
      <c r="K60" s="103">
        <f t="shared" si="218"/>
        <v>0</v>
      </c>
      <c r="L60" s="103">
        <f t="shared" si="219"/>
        <v>0</v>
      </c>
      <c r="M60" s="81">
        <v>4</v>
      </c>
      <c r="N60" s="103">
        <f t="shared" si="220"/>
        <v>0</v>
      </c>
      <c r="O60" s="103">
        <f t="shared" si="221"/>
        <v>0</v>
      </c>
      <c r="P60" s="27">
        <f>11.833-I60-M60-J60</f>
        <v>2.8330000000000002</v>
      </c>
      <c r="Q60" s="103">
        <f t="shared" si="222"/>
        <v>0</v>
      </c>
      <c r="R60" s="103">
        <f t="shared" si="223"/>
        <v>0</v>
      </c>
      <c r="S60" s="104">
        <f t="shared" si="224"/>
        <v>0</v>
      </c>
      <c r="T60" s="104">
        <f t="shared" si="225"/>
        <v>0</v>
      </c>
      <c r="U60" s="18"/>
      <c r="V60" s="26"/>
      <c r="W60" s="21"/>
      <c r="X60" s="21"/>
      <c r="Y60" s="21"/>
      <c r="Z60" s="21"/>
      <c r="AA60" s="21"/>
      <c r="AB60" s="21"/>
      <c r="AC60" s="27"/>
      <c r="AD60" s="21"/>
      <c r="AE60" s="21"/>
      <c r="AF60" s="21"/>
      <c r="AG60" s="27"/>
      <c r="AH60" s="396">
        <v>1</v>
      </c>
      <c r="AI60" s="21">
        <f t="shared" si="226"/>
        <v>2.6775185502300003</v>
      </c>
      <c r="AK60" s="301">
        <f>+IF(D60=0.667,E60*F60*G60,0)</f>
        <v>0</v>
      </c>
      <c r="AL60" s="301">
        <f>+IF(D60=0.333,E60*F60*G60,0)</f>
        <v>0</v>
      </c>
      <c r="AM60" s="301"/>
      <c r="AN60" s="301"/>
      <c r="AO60" s="299"/>
      <c r="AP60" s="301"/>
      <c r="AQ60" s="301"/>
      <c r="AT60" s="694">
        <f t="shared" si="24"/>
        <v>0</v>
      </c>
    </row>
    <row r="61" spans="2:46" ht="27.6" x14ac:dyDescent="0.3">
      <c r="B61" s="92"/>
      <c r="C61" s="62" t="s">
        <v>339</v>
      </c>
      <c r="D61" s="98">
        <v>0.66700000000000004</v>
      </c>
      <c r="E61" s="689">
        <f t="shared" si="230"/>
        <v>0</v>
      </c>
      <c r="F61" s="689">
        <f t="shared" si="230"/>
        <v>0</v>
      </c>
      <c r="G61" s="98">
        <f>(2.251+2.066+3.805)*3.281</f>
        <v>26.648282000000002</v>
      </c>
      <c r="H61" s="98">
        <f>+D61</f>
        <v>0.66700000000000004</v>
      </c>
      <c r="I61" s="94">
        <v>2</v>
      </c>
      <c r="J61" s="99">
        <v>3</v>
      </c>
      <c r="K61" s="100">
        <f>+IF(D61=0.667,E61*F61*G61*H61*J61,0)</f>
        <v>0</v>
      </c>
      <c r="L61" s="100">
        <f>+IF(D61=0.333,E61*F61*G61*J61,0)</f>
        <v>0</v>
      </c>
      <c r="M61" s="99">
        <v>4</v>
      </c>
      <c r="N61" s="100">
        <f>+IF(D61=0.667,E61*F61*G61*H61*M61,0)</f>
        <v>0</v>
      </c>
      <c r="O61" s="100">
        <f>+IF(D61=0.333,E61*F61*G61*M61,0)</f>
        <v>0</v>
      </c>
      <c r="P61" s="27">
        <f>11.833-I61-M61-J61</f>
        <v>2.8330000000000002</v>
      </c>
      <c r="Q61" s="100">
        <f>+IF(D61=0.667,E61*F61*G61*H61*P61,0)</f>
        <v>0</v>
      </c>
      <c r="R61" s="100">
        <f>+IF(D61=0.333,E61*F61*G61*P61,0)</f>
        <v>0</v>
      </c>
      <c r="S61" s="101">
        <f t="shared" si="224"/>
        <v>0</v>
      </c>
      <c r="T61" s="101">
        <f t="shared" si="225"/>
        <v>0</v>
      </c>
      <c r="U61" s="92"/>
      <c r="V61" s="91"/>
      <c r="W61" s="102"/>
      <c r="X61" s="98"/>
      <c r="Y61" s="102"/>
      <c r="Z61" s="98"/>
      <c r="AA61" s="98"/>
      <c r="AB61" s="98"/>
      <c r="AC61" s="91"/>
      <c r="AD61" s="98"/>
      <c r="AE61" s="98"/>
      <c r="AF61" s="98"/>
      <c r="AG61" s="91"/>
      <c r="AH61" s="304">
        <v>1</v>
      </c>
      <c r="AI61" s="299">
        <f>+AH61*G61*D61*0.17</f>
        <v>3.0216486959800006</v>
      </c>
      <c r="AK61" s="301">
        <f t="shared" ref="AK61:AK69" si="231">+IF(D61=0.667,E61*F61*G61,0)</f>
        <v>0</v>
      </c>
      <c r="AL61" s="301">
        <f t="shared" ref="AL61:AL67" si="232">+IF(D61=0.333,E61*F61*G61,0)</f>
        <v>0</v>
      </c>
      <c r="AM61" s="301"/>
      <c r="AN61" s="301"/>
      <c r="AO61" s="299"/>
      <c r="AP61" s="301"/>
      <c r="AQ61" s="301"/>
      <c r="AT61" s="694">
        <f t="shared" si="24"/>
        <v>0</v>
      </c>
    </row>
    <row r="62" spans="2:46" ht="27.6" x14ac:dyDescent="0.3">
      <c r="B62" s="92"/>
      <c r="C62" s="62" t="s">
        <v>340</v>
      </c>
      <c r="D62" s="98">
        <v>0.33300000000000002</v>
      </c>
      <c r="E62" s="689">
        <f t="shared" si="230"/>
        <v>0</v>
      </c>
      <c r="F62" s="689">
        <f t="shared" si="230"/>
        <v>0</v>
      </c>
      <c r="G62" s="98">
        <f>(1.966+2.125+3.551)*3.281</f>
        <v>25.073402000000002</v>
      </c>
      <c r="H62" s="98">
        <f>+D62</f>
        <v>0.33300000000000002</v>
      </c>
      <c r="I62" s="94">
        <v>2</v>
      </c>
      <c r="J62" s="99">
        <v>3</v>
      </c>
      <c r="K62" s="100">
        <f>+IF(D62=0.667,E62*F62*G62*H62*J62,0)</f>
        <v>0</v>
      </c>
      <c r="L62" s="100">
        <f>+IF(D62=0.333,E62*F62*G62*J62,0)</f>
        <v>0</v>
      </c>
      <c r="M62" s="99">
        <v>4</v>
      </c>
      <c r="N62" s="100">
        <f>+IF(D62=0.667,E62*F62*G62*H62*M62,0)</f>
        <v>0</v>
      </c>
      <c r="O62" s="100">
        <f>+IF(D62=0.333,E62*F62*G62*M62,0)</f>
        <v>0</v>
      </c>
      <c r="P62" s="27">
        <f>11.833-I62-M62-J62</f>
        <v>2.8330000000000002</v>
      </c>
      <c r="Q62" s="100">
        <f>+IF(D62=0.667,E62*F62*G62*H62*P62,0)</f>
        <v>0</v>
      </c>
      <c r="R62" s="100">
        <f>+IF(D62=0.333,E62*F62*G62*P62,0)</f>
        <v>0</v>
      </c>
      <c r="S62" s="101">
        <f t="shared" si="224"/>
        <v>0</v>
      </c>
      <c r="T62" s="101">
        <f t="shared" si="225"/>
        <v>0</v>
      </c>
      <c r="U62" s="92"/>
      <c r="V62" s="91"/>
      <c r="W62" s="102"/>
      <c r="X62" s="98"/>
      <c r="Y62" s="102"/>
      <c r="Z62" s="98"/>
      <c r="AA62" s="98"/>
      <c r="AB62" s="98"/>
      <c r="AC62" s="91"/>
      <c r="AD62" s="98"/>
      <c r="AE62" s="98"/>
      <c r="AF62" s="98"/>
      <c r="AG62" s="91"/>
      <c r="AH62" s="304">
        <v>1</v>
      </c>
      <c r="AI62" s="299">
        <f>+AH62*G62*D62*0.17</f>
        <v>1.4194052872200003</v>
      </c>
      <c r="AK62" s="301">
        <f t="shared" si="231"/>
        <v>0</v>
      </c>
      <c r="AL62" s="301">
        <f t="shared" si="232"/>
        <v>0</v>
      </c>
      <c r="AM62" s="301"/>
      <c r="AN62" s="301"/>
      <c r="AO62" s="299"/>
      <c r="AP62" s="301"/>
      <c r="AQ62" s="301"/>
      <c r="AT62" s="694">
        <f t="shared" si="24"/>
        <v>0</v>
      </c>
    </row>
    <row r="63" spans="2:46" ht="20.100000000000001" customHeight="1" x14ac:dyDescent="0.3">
      <c r="B63" s="18"/>
      <c r="C63" s="62" t="s">
        <v>337</v>
      </c>
      <c r="D63" s="98">
        <v>0.33300000000000002</v>
      </c>
      <c r="E63" s="689">
        <f>-1*0</f>
        <v>0</v>
      </c>
      <c r="F63" s="689">
        <f>1*0</f>
        <v>0</v>
      </c>
      <c r="G63" s="20">
        <v>2.5</v>
      </c>
      <c r="H63" s="20">
        <f t="shared" ref="H63:H64" si="233">+D63</f>
        <v>0.33300000000000002</v>
      </c>
      <c r="I63" s="21"/>
      <c r="J63" s="81">
        <v>3</v>
      </c>
      <c r="K63" s="103">
        <f t="shared" ref="K63:K64" si="234">+IF(D63=0.667,E63*F63*G63*H63*J63,0)</f>
        <v>0</v>
      </c>
      <c r="L63" s="103">
        <f t="shared" ref="L63:L64" si="235">+IF(D63=0.333,E63*F63*G63*J63,0)</f>
        <v>0</v>
      </c>
      <c r="M63" s="81">
        <v>3</v>
      </c>
      <c r="N63" s="103">
        <f t="shared" ref="N63:N64" si="236">+IF(D63=0.667,E63*F63*G63*H63*M63,0)</f>
        <v>0</v>
      </c>
      <c r="O63" s="103">
        <f t="shared" ref="O63:O64" si="237">+IF(D63=0.333,E63*F63*G63*M63,0)</f>
        <v>0</v>
      </c>
      <c r="P63" s="27"/>
      <c r="Q63" s="103">
        <f t="shared" ref="Q63:Q64" si="238">+IF(D63=0.667,E63*F63*G63*H63*P63,0)</f>
        <v>0</v>
      </c>
      <c r="R63" s="103">
        <f t="shared" ref="R63:R64" si="239">+IF(D63=0.333,E63*F63*G63*P63,0)</f>
        <v>0</v>
      </c>
      <c r="S63" s="104">
        <f t="shared" si="224"/>
        <v>0</v>
      </c>
      <c r="T63" s="104">
        <f t="shared" si="225"/>
        <v>0</v>
      </c>
      <c r="U63" s="18"/>
      <c r="V63" s="26"/>
      <c r="W63" s="21">
        <f>+G63+D63</f>
        <v>2.8330000000000002</v>
      </c>
      <c r="X63" s="21">
        <v>0.5</v>
      </c>
      <c r="Y63" s="21">
        <f>+IF(D63=0.667,-E63*F63*H63*W63*X63,0)</f>
        <v>0</v>
      </c>
      <c r="Z63" s="21">
        <f>+IF(D63=0.333,-E63*F63*H63*W63*X63,0)</f>
        <v>0</v>
      </c>
      <c r="AA63" s="21">
        <f>+F63*G63*H63</f>
        <v>0</v>
      </c>
      <c r="AB63" s="21">
        <f t="shared" ref="AB63:AB64" si="240">2*F63*W63*X63</f>
        <v>0</v>
      </c>
      <c r="AC63" s="27"/>
      <c r="AD63" s="21"/>
      <c r="AE63" s="21">
        <f t="shared" ref="AE63:AE64" si="241">+IF(D63=0.667,AD63*W63*H63*F63,0)</f>
        <v>0</v>
      </c>
      <c r="AF63" s="21">
        <f t="shared" ref="AF63:AF64" si="242">+IF(D63=0.333,AD63*W63*H63*F63,0)</f>
        <v>0</v>
      </c>
      <c r="AG63" s="27"/>
      <c r="AH63" s="396"/>
      <c r="AI63" s="21">
        <f t="shared" ref="AI63:AI64" si="243">+AH63*G63*D63*0.17</f>
        <v>0</v>
      </c>
      <c r="AK63" s="301">
        <f t="shared" si="231"/>
        <v>0</v>
      </c>
      <c r="AL63" s="301">
        <f t="shared" si="232"/>
        <v>0</v>
      </c>
      <c r="AM63" s="301"/>
      <c r="AN63" s="301">
        <f>+IF(D63=0.333,1.33,0)*0</f>
        <v>0</v>
      </c>
      <c r="AO63" s="299"/>
      <c r="AP63" s="301"/>
      <c r="AQ63" s="301"/>
      <c r="AT63" s="694">
        <f t="shared" si="24"/>
        <v>0</v>
      </c>
    </row>
    <row r="64" spans="2:46" ht="20.100000000000001" customHeight="1" x14ac:dyDescent="0.3">
      <c r="B64" s="18"/>
      <c r="C64" s="62" t="s">
        <v>341</v>
      </c>
      <c r="D64" s="98">
        <v>0.33300000000000002</v>
      </c>
      <c r="E64" s="689">
        <f>-1*0</f>
        <v>0</v>
      </c>
      <c r="F64" s="689">
        <f>1*0</f>
        <v>0</v>
      </c>
      <c r="G64" s="20">
        <v>3.25</v>
      </c>
      <c r="H64" s="20">
        <f t="shared" si="233"/>
        <v>0.33300000000000002</v>
      </c>
      <c r="I64" s="21"/>
      <c r="J64" s="81">
        <v>3</v>
      </c>
      <c r="K64" s="103">
        <f t="shared" si="234"/>
        <v>0</v>
      </c>
      <c r="L64" s="103">
        <f t="shared" si="235"/>
        <v>0</v>
      </c>
      <c r="M64" s="81">
        <v>3</v>
      </c>
      <c r="N64" s="103">
        <f t="shared" si="236"/>
        <v>0</v>
      </c>
      <c r="O64" s="103">
        <f t="shared" si="237"/>
        <v>0</v>
      </c>
      <c r="P64" s="27"/>
      <c r="Q64" s="103">
        <f t="shared" si="238"/>
        <v>0</v>
      </c>
      <c r="R64" s="103">
        <f t="shared" si="239"/>
        <v>0</v>
      </c>
      <c r="S64" s="104">
        <f t="shared" si="224"/>
        <v>0</v>
      </c>
      <c r="T64" s="104">
        <f t="shared" si="225"/>
        <v>0</v>
      </c>
      <c r="U64" s="18"/>
      <c r="V64" s="26"/>
      <c r="W64" s="21">
        <f>+G64+D64</f>
        <v>3.5830000000000002</v>
      </c>
      <c r="X64" s="21">
        <v>0.5</v>
      </c>
      <c r="Y64" s="21">
        <f>+IF(D64=0.667,-E64*F64*H64*W64*X64,0)</f>
        <v>0</v>
      </c>
      <c r="Z64" s="21">
        <f>+IF(D64=0.333,-E64*F64*H64*W64*X64,0)</f>
        <v>0</v>
      </c>
      <c r="AA64" s="21">
        <f>+F64*G64*H64</f>
        <v>0</v>
      </c>
      <c r="AB64" s="21">
        <f t="shared" si="240"/>
        <v>0</v>
      </c>
      <c r="AC64" s="27"/>
      <c r="AD64" s="21"/>
      <c r="AE64" s="21">
        <f t="shared" si="241"/>
        <v>0</v>
      </c>
      <c r="AF64" s="21">
        <f t="shared" si="242"/>
        <v>0</v>
      </c>
      <c r="AG64" s="27"/>
      <c r="AH64" s="396"/>
      <c r="AI64" s="21">
        <f t="shared" si="243"/>
        <v>0</v>
      </c>
      <c r="AK64" s="301">
        <f t="shared" si="231"/>
        <v>0</v>
      </c>
      <c r="AL64" s="301">
        <f t="shared" si="232"/>
        <v>0</v>
      </c>
      <c r="AM64" s="301"/>
      <c r="AN64" s="301">
        <f>+IF(D64=0.333,1.33,0)*0</f>
        <v>0</v>
      </c>
      <c r="AO64" s="299"/>
      <c r="AP64" s="301"/>
      <c r="AQ64" s="301"/>
      <c r="AT64" s="694">
        <f t="shared" si="24"/>
        <v>0</v>
      </c>
    </row>
    <row r="65" spans="2:46" ht="27.6" x14ac:dyDescent="0.3">
      <c r="B65" s="92"/>
      <c r="C65" s="62" t="s">
        <v>342</v>
      </c>
      <c r="D65" s="98">
        <v>0.33300000000000002</v>
      </c>
      <c r="E65" s="689">
        <f>1*0</f>
        <v>0</v>
      </c>
      <c r="F65" s="689">
        <f>1*0</f>
        <v>0</v>
      </c>
      <c r="G65" s="98">
        <f>(1.47+1.98+1.994+1.375+2.135)*3.281</f>
        <v>29.378074000000002</v>
      </c>
      <c r="H65" s="98">
        <f>+D65</f>
        <v>0.33300000000000002</v>
      </c>
      <c r="I65" s="94">
        <v>2</v>
      </c>
      <c r="J65" s="99">
        <v>3</v>
      </c>
      <c r="K65" s="100">
        <f>+IF(D65=0.667,E65*F65*G65*H65*J65,0)</f>
        <v>0</v>
      </c>
      <c r="L65" s="100">
        <f>+IF(D65=0.333,E65*F65*G65*J65,0)</f>
        <v>0</v>
      </c>
      <c r="M65" s="99">
        <v>4</v>
      </c>
      <c r="N65" s="100">
        <f>+IF(D65=0.667,E65*F65*G65*H65*M65,0)</f>
        <v>0</v>
      </c>
      <c r="O65" s="100">
        <f>+IF(D65=0.333,E65*F65*G65*M65,0)</f>
        <v>0</v>
      </c>
      <c r="P65" s="27">
        <f>11.833-I65-M65-J65</f>
        <v>2.8330000000000002</v>
      </c>
      <c r="Q65" s="100">
        <f>+IF(D65=0.667,E65*F65*G65*H65*P65,0)</f>
        <v>0</v>
      </c>
      <c r="R65" s="100">
        <f>+IF(D65=0.333,E65*F65*G65*P65,0)</f>
        <v>0</v>
      </c>
      <c r="S65" s="101">
        <f t="shared" si="224"/>
        <v>0</v>
      </c>
      <c r="T65" s="101">
        <f t="shared" si="225"/>
        <v>0</v>
      </c>
      <c r="U65" s="92"/>
      <c r="V65" s="91"/>
      <c r="W65" s="102"/>
      <c r="X65" s="98"/>
      <c r="Y65" s="102"/>
      <c r="Z65" s="98"/>
      <c r="AA65" s="98"/>
      <c r="AB65" s="98"/>
      <c r="AC65" s="91"/>
      <c r="AD65" s="98"/>
      <c r="AE65" s="98"/>
      <c r="AF65" s="98"/>
      <c r="AG65" s="91"/>
      <c r="AH65" s="304">
        <v>1</v>
      </c>
      <c r="AI65" s="299">
        <f>+AH65*G65*D65*0.17</f>
        <v>1.6630927691400004</v>
      </c>
      <c r="AK65" s="301">
        <f t="shared" si="231"/>
        <v>0</v>
      </c>
      <c r="AL65" s="301">
        <f t="shared" si="232"/>
        <v>0</v>
      </c>
      <c r="AM65" s="301"/>
      <c r="AN65" s="301"/>
      <c r="AO65" s="299"/>
      <c r="AP65" s="301"/>
      <c r="AQ65" s="301"/>
      <c r="AT65" s="694">
        <f t="shared" si="24"/>
        <v>0</v>
      </c>
    </row>
    <row r="66" spans="2:46" ht="20.100000000000001" customHeight="1" x14ac:dyDescent="0.3">
      <c r="B66" s="18"/>
      <c r="C66" s="62" t="s">
        <v>337</v>
      </c>
      <c r="D66" s="98">
        <v>0.33300000000000002</v>
      </c>
      <c r="E66" s="689">
        <f>-1*0</f>
        <v>0</v>
      </c>
      <c r="F66" s="689">
        <f>2*0</f>
        <v>0</v>
      </c>
      <c r="G66" s="20">
        <v>2.5</v>
      </c>
      <c r="H66" s="20">
        <f t="shared" ref="H66:H69" si="244">+D66</f>
        <v>0.33300000000000002</v>
      </c>
      <c r="I66" s="21"/>
      <c r="J66" s="81">
        <v>3</v>
      </c>
      <c r="K66" s="103">
        <f t="shared" ref="K66:K69" si="245">+IF(D66=0.667,E66*F66*G66*H66*J66,0)</f>
        <v>0</v>
      </c>
      <c r="L66" s="103">
        <f t="shared" ref="L66:L69" si="246">+IF(D66=0.333,E66*F66*G66*J66,0)</f>
        <v>0</v>
      </c>
      <c r="M66" s="81">
        <v>3</v>
      </c>
      <c r="N66" s="103">
        <f t="shared" ref="N66:N69" si="247">+IF(D66=0.667,E66*F66*G66*H66*M66,0)</f>
        <v>0</v>
      </c>
      <c r="O66" s="103">
        <f t="shared" ref="O66:O69" si="248">+IF(D66=0.333,E66*F66*G66*M66,0)</f>
        <v>0</v>
      </c>
      <c r="P66" s="27"/>
      <c r="Q66" s="103">
        <f t="shared" ref="Q66:Q69" si="249">+IF(D66=0.667,E66*F66*G66*H66*P66,0)</f>
        <v>0</v>
      </c>
      <c r="R66" s="103">
        <f t="shared" ref="R66:R69" si="250">+IF(D66=0.333,E66*F66*G66*P66,0)</f>
        <v>0</v>
      </c>
      <c r="S66" s="104">
        <f t="shared" si="224"/>
        <v>0</v>
      </c>
      <c r="T66" s="104">
        <f t="shared" si="225"/>
        <v>0</v>
      </c>
      <c r="U66" s="18"/>
      <c r="V66" s="26"/>
      <c r="W66" s="21">
        <f>+G66+D66</f>
        <v>2.8330000000000002</v>
      </c>
      <c r="X66" s="21">
        <v>0.5</v>
      </c>
      <c r="Y66" s="21">
        <f>+IF(D66=0.667,-E66*F66*H66*W66*X66,0)</f>
        <v>0</v>
      </c>
      <c r="Z66" s="21">
        <f>+IF(D66=0.333,-E66*F66*H66*W66*X66,0)</f>
        <v>0</v>
      </c>
      <c r="AA66" s="21">
        <f>+F66*G66*H66</f>
        <v>0</v>
      </c>
      <c r="AB66" s="21">
        <f t="shared" ref="AB66:AB69" si="251">2*F66*W66*X66</f>
        <v>0</v>
      </c>
      <c r="AC66" s="27"/>
      <c r="AD66" s="21"/>
      <c r="AE66" s="21">
        <f t="shared" ref="AE66:AE69" si="252">+IF(D66=0.667,AD66*W66*H66*F66,0)</f>
        <v>0</v>
      </c>
      <c r="AF66" s="21">
        <f t="shared" ref="AF66:AF69" si="253">+IF(D66=0.333,AD66*W66*H66*F66,0)</f>
        <v>0</v>
      </c>
      <c r="AG66" s="27"/>
      <c r="AH66" s="396"/>
      <c r="AI66" s="21">
        <f t="shared" ref="AI66:AI69" si="254">+AH66*G66*D66*0.17</f>
        <v>0</v>
      </c>
      <c r="AK66" s="301">
        <f t="shared" si="231"/>
        <v>0</v>
      </c>
      <c r="AL66" s="301">
        <f t="shared" si="232"/>
        <v>0</v>
      </c>
      <c r="AM66" s="301"/>
      <c r="AN66" s="301">
        <f>+IF(D66=0.333,1.33,0)*0</f>
        <v>0</v>
      </c>
      <c r="AO66" s="299"/>
      <c r="AP66" s="301"/>
      <c r="AQ66" s="301"/>
      <c r="AT66" s="694">
        <f t="shared" si="24"/>
        <v>0</v>
      </c>
    </row>
    <row r="67" spans="2:46" ht="20.100000000000001" customHeight="1" x14ac:dyDescent="0.3">
      <c r="B67" s="18"/>
      <c r="C67" s="62" t="s">
        <v>341</v>
      </c>
      <c r="D67" s="98">
        <v>0.33300000000000002</v>
      </c>
      <c r="E67" s="689">
        <f>-1*0</f>
        <v>0</v>
      </c>
      <c r="F67" s="689">
        <f>1*0</f>
        <v>0</v>
      </c>
      <c r="G67" s="20">
        <v>3.25</v>
      </c>
      <c r="H67" s="20">
        <f t="shared" si="244"/>
        <v>0.33300000000000002</v>
      </c>
      <c r="I67" s="21"/>
      <c r="J67" s="81">
        <v>3</v>
      </c>
      <c r="K67" s="103">
        <f t="shared" si="245"/>
        <v>0</v>
      </c>
      <c r="L67" s="103">
        <f t="shared" si="246"/>
        <v>0</v>
      </c>
      <c r="M67" s="81">
        <v>3</v>
      </c>
      <c r="N67" s="103">
        <f t="shared" si="247"/>
        <v>0</v>
      </c>
      <c r="O67" s="103">
        <f t="shared" si="248"/>
        <v>0</v>
      </c>
      <c r="P67" s="27"/>
      <c r="Q67" s="103">
        <f t="shared" si="249"/>
        <v>0</v>
      </c>
      <c r="R67" s="103">
        <f t="shared" si="250"/>
        <v>0</v>
      </c>
      <c r="S67" s="104">
        <f t="shared" si="224"/>
        <v>0</v>
      </c>
      <c r="T67" s="104">
        <f t="shared" si="225"/>
        <v>0</v>
      </c>
      <c r="U67" s="18"/>
      <c r="V67" s="26"/>
      <c r="W67" s="21">
        <f>+G67+D67</f>
        <v>3.5830000000000002</v>
      </c>
      <c r="X67" s="21">
        <v>0.5</v>
      </c>
      <c r="Y67" s="21">
        <f>+IF(D67=0.667,-E67*F67*H67*W67*X67,0)</f>
        <v>0</v>
      </c>
      <c r="Z67" s="21">
        <f>+IF(D67=0.333,-E67*F67*H67*W67*X67,0)</f>
        <v>0</v>
      </c>
      <c r="AA67" s="21">
        <f>+F67*G67*H67</f>
        <v>0</v>
      </c>
      <c r="AB67" s="21">
        <f t="shared" si="251"/>
        <v>0</v>
      </c>
      <c r="AC67" s="27"/>
      <c r="AD67" s="21"/>
      <c r="AE67" s="21">
        <f t="shared" si="252"/>
        <v>0</v>
      </c>
      <c r="AF67" s="21">
        <f t="shared" si="253"/>
        <v>0</v>
      </c>
      <c r="AG67" s="27"/>
      <c r="AH67" s="396"/>
      <c r="AI67" s="21">
        <f t="shared" si="254"/>
        <v>0</v>
      </c>
      <c r="AK67" s="301">
        <f t="shared" si="231"/>
        <v>0</v>
      </c>
      <c r="AL67" s="301">
        <f t="shared" si="232"/>
        <v>0</v>
      </c>
      <c r="AM67" s="301"/>
      <c r="AN67" s="301">
        <f>+IF(D67=0.333,1.33,0)*0</f>
        <v>0</v>
      </c>
      <c r="AO67" s="299"/>
      <c r="AP67" s="301"/>
      <c r="AQ67" s="301"/>
      <c r="AT67" s="694">
        <f t="shared" si="24"/>
        <v>0</v>
      </c>
    </row>
    <row r="68" spans="2:46" ht="20.100000000000001" customHeight="1" x14ac:dyDescent="0.3">
      <c r="B68" s="18"/>
      <c r="C68" s="62" t="s">
        <v>343</v>
      </c>
      <c r="D68" s="298">
        <v>0.33300000000000002</v>
      </c>
      <c r="E68" s="689">
        <f>1*0</f>
        <v>0</v>
      </c>
      <c r="F68" s="689">
        <f>1*0</f>
        <v>0</v>
      </c>
      <c r="G68" s="20">
        <f>(1.05+1.2)*3.281</f>
        <v>7.38225</v>
      </c>
      <c r="H68" s="20">
        <f t="shared" si="244"/>
        <v>0.33300000000000002</v>
      </c>
      <c r="I68" s="21">
        <v>2</v>
      </c>
      <c r="J68" s="81">
        <v>3</v>
      </c>
      <c r="K68" s="103">
        <f t="shared" si="245"/>
        <v>0</v>
      </c>
      <c r="L68" s="103">
        <f t="shared" si="246"/>
        <v>0</v>
      </c>
      <c r="M68" s="81"/>
      <c r="N68" s="103">
        <f t="shared" si="247"/>
        <v>0</v>
      </c>
      <c r="O68" s="103">
        <f t="shared" si="248"/>
        <v>0</v>
      </c>
      <c r="P68" s="27"/>
      <c r="Q68" s="103">
        <f t="shared" si="249"/>
        <v>0</v>
      </c>
      <c r="R68" s="103">
        <f t="shared" si="250"/>
        <v>0</v>
      </c>
      <c r="S68" s="104">
        <f t="shared" si="224"/>
        <v>0</v>
      </c>
      <c r="T68" s="104">
        <f t="shared" si="225"/>
        <v>0</v>
      </c>
      <c r="U68" s="18"/>
      <c r="V68" s="26"/>
      <c r="W68" s="21"/>
      <c r="X68" s="21"/>
      <c r="Y68" s="21"/>
      <c r="Z68" s="21"/>
      <c r="AA68" s="21"/>
      <c r="AB68" s="21">
        <f t="shared" si="251"/>
        <v>0</v>
      </c>
      <c r="AC68" s="27"/>
      <c r="AD68" s="21"/>
      <c r="AE68" s="21">
        <f t="shared" si="252"/>
        <v>0</v>
      </c>
      <c r="AF68" s="21">
        <f t="shared" si="253"/>
        <v>0</v>
      </c>
      <c r="AG68" s="27"/>
      <c r="AH68" s="396">
        <v>1</v>
      </c>
      <c r="AI68" s="21">
        <f t="shared" si="254"/>
        <v>0.41790917250000004</v>
      </c>
      <c r="AK68" s="301">
        <f t="shared" si="231"/>
        <v>0</v>
      </c>
      <c r="AL68" s="301"/>
      <c r="AM68" s="301"/>
      <c r="AN68" s="301"/>
      <c r="AO68" s="299">
        <f>+E68*F68*G68</f>
        <v>0</v>
      </c>
      <c r="AP68" s="301"/>
      <c r="AQ68" s="301"/>
      <c r="AT68" s="694">
        <f t="shared" si="24"/>
        <v>0</v>
      </c>
    </row>
    <row r="69" spans="2:46" ht="20.100000000000001" customHeight="1" x14ac:dyDescent="0.3">
      <c r="B69" s="18"/>
      <c r="C69" s="62" t="s">
        <v>344</v>
      </c>
      <c r="D69" s="298">
        <v>0.33300000000000002</v>
      </c>
      <c r="E69" s="689">
        <f>1*0</f>
        <v>0</v>
      </c>
      <c r="F69" s="689">
        <f>1*0</f>
        <v>0</v>
      </c>
      <c r="G69" s="20">
        <f>(1.37+1.05+1.05)*3.281</f>
        <v>11.385069999999999</v>
      </c>
      <c r="H69" s="20">
        <f t="shared" si="244"/>
        <v>0.33300000000000002</v>
      </c>
      <c r="I69" s="21">
        <v>2</v>
      </c>
      <c r="J69" s="81">
        <v>3</v>
      </c>
      <c r="K69" s="103">
        <f t="shared" si="245"/>
        <v>0</v>
      </c>
      <c r="L69" s="103">
        <f t="shared" si="246"/>
        <v>0</v>
      </c>
      <c r="M69" s="81"/>
      <c r="N69" s="103">
        <f t="shared" si="247"/>
        <v>0</v>
      </c>
      <c r="O69" s="103">
        <f t="shared" si="248"/>
        <v>0</v>
      </c>
      <c r="P69" s="27"/>
      <c r="Q69" s="103">
        <f t="shared" si="249"/>
        <v>0</v>
      </c>
      <c r="R69" s="103">
        <f t="shared" si="250"/>
        <v>0</v>
      </c>
      <c r="S69" s="104">
        <f t="shared" si="224"/>
        <v>0</v>
      </c>
      <c r="T69" s="104">
        <f t="shared" si="225"/>
        <v>0</v>
      </c>
      <c r="U69" s="18"/>
      <c r="V69" s="26"/>
      <c r="W69" s="21"/>
      <c r="X69" s="21"/>
      <c r="Y69" s="21"/>
      <c r="Z69" s="21"/>
      <c r="AA69" s="21"/>
      <c r="AB69" s="21">
        <f t="shared" si="251"/>
        <v>0</v>
      </c>
      <c r="AC69" s="27"/>
      <c r="AD69" s="21"/>
      <c r="AE69" s="21">
        <f t="shared" si="252"/>
        <v>0</v>
      </c>
      <c r="AF69" s="21">
        <f t="shared" si="253"/>
        <v>0</v>
      </c>
      <c r="AG69" s="27"/>
      <c r="AH69" s="396">
        <v>1</v>
      </c>
      <c r="AI69" s="21">
        <f t="shared" si="254"/>
        <v>0.64450881270000004</v>
      </c>
      <c r="AK69" s="301">
        <f t="shared" si="231"/>
        <v>0</v>
      </c>
      <c r="AL69" s="301"/>
      <c r="AM69" s="301"/>
      <c r="AN69" s="301"/>
      <c r="AO69" s="299">
        <f>+E69*F69*G69</f>
        <v>0</v>
      </c>
      <c r="AP69" s="301"/>
      <c r="AQ69" s="301"/>
      <c r="AT69" s="694">
        <f t="shared" si="24"/>
        <v>0</v>
      </c>
    </row>
    <row r="70" spans="2:46" ht="20.100000000000001" customHeight="1" x14ac:dyDescent="0.3">
      <c r="B70" s="369"/>
      <c r="C70" s="370"/>
      <c r="D70" s="371"/>
      <c r="E70" s="369"/>
      <c r="F70" s="369"/>
      <c r="G70" s="371"/>
      <c r="H70" s="371"/>
      <c r="I70" s="374"/>
      <c r="J70" s="397"/>
      <c r="K70" s="398"/>
      <c r="L70" s="398"/>
      <c r="M70" s="397"/>
      <c r="N70" s="398"/>
      <c r="O70" s="398"/>
      <c r="P70" s="400"/>
      <c r="Q70" s="398"/>
      <c r="R70" s="398"/>
      <c r="S70" s="399"/>
      <c r="T70" s="399"/>
      <c r="U70" s="369"/>
      <c r="V70" s="373"/>
      <c r="W70" s="374"/>
      <c r="X70" s="374"/>
      <c r="Y70" s="374"/>
      <c r="Z70" s="374"/>
      <c r="AA70" s="374"/>
      <c r="AB70" s="374"/>
      <c r="AC70" s="400"/>
      <c r="AD70" s="374"/>
      <c r="AE70" s="374"/>
      <c r="AF70" s="374"/>
      <c r="AG70" s="400"/>
      <c r="AH70" s="401"/>
      <c r="AI70" s="374"/>
      <c r="AK70" s="378"/>
      <c r="AL70" s="378"/>
      <c r="AM70" s="378"/>
      <c r="AN70" s="378"/>
      <c r="AO70" s="374"/>
      <c r="AP70" s="378"/>
      <c r="AQ70" s="378"/>
      <c r="AT70" s="694">
        <f t="shared" si="24"/>
        <v>0</v>
      </c>
    </row>
    <row r="71" spans="2:46" ht="20.100000000000001" customHeight="1" x14ac:dyDescent="0.3">
      <c r="B71" s="92"/>
      <c r="C71" s="97" t="s">
        <v>346</v>
      </c>
      <c r="D71" s="92"/>
      <c r="E71" s="92"/>
      <c r="F71" s="92"/>
      <c r="G71" s="92"/>
      <c r="H71" s="92"/>
      <c r="I71" s="94"/>
      <c r="J71" s="92"/>
      <c r="K71" s="92"/>
      <c r="L71" s="92"/>
      <c r="M71" s="92"/>
      <c r="N71" s="92"/>
      <c r="O71" s="92"/>
      <c r="P71" s="95"/>
      <c r="Q71" s="92"/>
      <c r="R71" s="92"/>
      <c r="S71" s="92"/>
      <c r="T71" s="92"/>
      <c r="U71" s="92"/>
      <c r="V71" s="95"/>
      <c r="W71" s="92"/>
      <c r="X71" s="92"/>
      <c r="Y71" s="92"/>
      <c r="Z71" s="92"/>
      <c r="AA71" s="92"/>
      <c r="AB71" s="92"/>
      <c r="AC71" s="95"/>
      <c r="AD71" s="92"/>
      <c r="AE71" s="92"/>
      <c r="AF71" s="92"/>
      <c r="AG71" s="95"/>
      <c r="AH71" s="304"/>
      <c r="AI71" s="301"/>
      <c r="AK71" s="301"/>
      <c r="AL71" s="301"/>
      <c r="AM71" s="301"/>
      <c r="AN71" s="301"/>
      <c r="AO71" s="299"/>
      <c r="AP71" s="301"/>
      <c r="AQ71" s="301"/>
      <c r="AT71" s="694">
        <f t="shared" si="24"/>
        <v>0</v>
      </c>
    </row>
    <row r="72" spans="2:46" ht="20.100000000000001" customHeight="1" x14ac:dyDescent="0.3">
      <c r="B72" s="92"/>
      <c r="C72" s="62" t="s">
        <v>33</v>
      </c>
      <c r="D72" s="98">
        <v>0.33300000000000002</v>
      </c>
      <c r="E72" s="689">
        <f>1*0</f>
        <v>0</v>
      </c>
      <c r="F72" s="689">
        <f>1*0</f>
        <v>0</v>
      </c>
      <c r="G72" s="98">
        <f>(3.36+3.49)*3.281</f>
        <v>22.47485</v>
      </c>
      <c r="H72" s="98">
        <f>+D72</f>
        <v>0.33300000000000002</v>
      </c>
      <c r="I72" s="94">
        <v>2</v>
      </c>
      <c r="J72" s="99">
        <v>3</v>
      </c>
      <c r="K72" s="100">
        <f>+IF(D72=0.667,E72*F72*G72*H72*J72,0)</f>
        <v>0</v>
      </c>
      <c r="L72" s="100">
        <f>+IF(D72=0.333,E72*F72*G72*J72,0)</f>
        <v>0</v>
      </c>
      <c r="M72" s="99">
        <v>4</v>
      </c>
      <c r="N72" s="100">
        <f>+IF(D72=0.667,E72*F72*G72*H72*M72,0)</f>
        <v>0</v>
      </c>
      <c r="O72" s="100">
        <f>+IF(D72=0.333,E72*F72*G72*M72,0)</f>
        <v>0</v>
      </c>
      <c r="P72" s="27">
        <f>11.833-I72-M72-J72</f>
        <v>2.8330000000000002</v>
      </c>
      <c r="Q72" s="100">
        <f>+IF(D72=0.667,E72*F72*G72*H72*P72,0)</f>
        <v>0</v>
      </c>
      <c r="R72" s="100">
        <f>+IF(D72=0.333,E72*F72*G72*P72,0)</f>
        <v>0</v>
      </c>
      <c r="S72" s="101">
        <f t="shared" ref="S72:T87" si="255">+Q72+N72+K72</f>
        <v>0</v>
      </c>
      <c r="T72" s="101">
        <f t="shared" si="255"/>
        <v>0</v>
      </c>
      <c r="U72" s="92"/>
      <c r="V72" s="91"/>
      <c r="W72" s="102"/>
      <c r="X72" s="98"/>
      <c r="Y72" s="102"/>
      <c r="Z72" s="98"/>
      <c r="AA72" s="98"/>
      <c r="AB72" s="98"/>
      <c r="AC72" s="91"/>
      <c r="AD72" s="98"/>
      <c r="AE72" s="98"/>
      <c r="AF72" s="98"/>
      <c r="AG72" s="91"/>
      <c r="AH72" s="304">
        <v>1</v>
      </c>
      <c r="AI72" s="299">
        <f>+AH72*G72*D72*0.17</f>
        <v>1.2723012585000002</v>
      </c>
      <c r="AK72" s="301">
        <f t="shared" ref="AK72:AK75" si="256">+IF(D72=0.667,E72*F72*G72,0)</f>
        <v>0</v>
      </c>
      <c r="AL72" s="301">
        <f t="shared" ref="AL72:AL75" si="257">+IF(D72=0.333,E72*F72*G72,0)</f>
        <v>0</v>
      </c>
      <c r="AM72" s="301"/>
      <c r="AN72" s="301"/>
      <c r="AO72" s="299"/>
      <c r="AP72" s="301"/>
      <c r="AQ72" s="301"/>
      <c r="AT72" s="694">
        <f t="shared" ref="AT72:AT135" si="258">+E72*F72*G72</f>
        <v>0</v>
      </c>
    </row>
    <row r="73" spans="2:46" ht="20.100000000000001" customHeight="1" x14ac:dyDescent="0.3">
      <c r="B73" s="18"/>
      <c r="C73" s="62" t="s">
        <v>34</v>
      </c>
      <c r="D73" s="98">
        <v>0.33300000000000002</v>
      </c>
      <c r="E73" s="689">
        <f>-1*0</f>
        <v>0</v>
      </c>
      <c r="F73" s="689">
        <f>2*0</f>
        <v>0</v>
      </c>
      <c r="G73" s="20">
        <v>3.25</v>
      </c>
      <c r="H73" s="20">
        <f t="shared" ref="H73" si="259">+D73</f>
        <v>0.33300000000000002</v>
      </c>
      <c r="I73" s="21"/>
      <c r="J73" s="81">
        <v>3</v>
      </c>
      <c r="K73" s="103">
        <f t="shared" ref="K73" si="260">+IF(D73=0.667,E73*F73*G73*H73*J73,0)</f>
        <v>0</v>
      </c>
      <c r="L73" s="103">
        <f t="shared" ref="L73" si="261">+IF(D73=0.333,E73*F73*G73*J73,0)</f>
        <v>0</v>
      </c>
      <c r="M73" s="81">
        <v>4</v>
      </c>
      <c r="N73" s="103">
        <f t="shared" ref="N73" si="262">+IF(D73=0.667,E73*F73*G73*H73*M73,0)</f>
        <v>0</v>
      </c>
      <c r="O73" s="103">
        <f t="shared" ref="O73" si="263">+IF(D73=0.333,E73*F73*G73*M73,0)</f>
        <v>0</v>
      </c>
      <c r="P73" s="27"/>
      <c r="Q73" s="103">
        <f t="shared" ref="Q73" si="264">+IF(D73=0.667,E73*F73*G73*H73*P73,0)</f>
        <v>0</v>
      </c>
      <c r="R73" s="103">
        <f t="shared" ref="R73" si="265">+IF(D73=0.333,E73*F73*G73*P73,0)</f>
        <v>0</v>
      </c>
      <c r="S73" s="104">
        <f t="shared" si="255"/>
        <v>0</v>
      </c>
      <c r="T73" s="104">
        <f t="shared" si="255"/>
        <v>0</v>
      </c>
      <c r="U73" s="18"/>
      <c r="V73" s="26"/>
      <c r="W73" s="21">
        <f>+G73+D73</f>
        <v>3.5830000000000002</v>
      </c>
      <c r="X73" s="21">
        <v>0.5</v>
      </c>
      <c r="Y73" s="21">
        <f>+IF(D73=0.667,-E73*F73*H73*W73*X73,0)</f>
        <v>0</v>
      </c>
      <c r="Z73" s="21">
        <f>+IF(D73=0.333,-E73*F73*H73*W73*X73,0)</f>
        <v>0</v>
      </c>
      <c r="AA73" s="21">
        <f>+F73*G73*H73</f>
        <v>0</v>
      </c>
      <c r="AB73" s="21">
        <f t="shared" ref="AB73" si="266">2*F73*W73*X73</f>
        <v>0</v>
      </c>
      <c r="AC73" s="27"/>
      <c r="AD73" s="21"/>
      <c r="AE73" s="21">
        <f t="shared" ref="AE73" si="267">+IF(D73=0.667,AD73*W73*H73*F73,0)</f>
        <v>0</v>
      </c>
      <c r="AF73" s="21">
        <f t="shared" ref="AF73" si="268">+IF(D73=0.333,AD73*W73*H73*F73,0)</f>
        <v>0</v>
      </c>
      <c r="AG73" s="27"/>
      <c r="AH73" s="396"/>
      <c r="AI73" s="21">
        <f t="shared" ref="AI73" si="269">+AH73*G73*D73*0.17</f>
        <v>0</v>
      </c>
      <c r="AK73" s="301">
        <f t="shared" si="256"/>
        <v>0</v>
      </c>
      <c r="AL73" s="301">
        <f t="shared" si="257"/>
        <v>0</v>
      </c>
      <c r="AM73" s="301"/>
      <c r="AN73" s="301">
        <f>+IF(D73=0.333,1.33,0)*0</f>
        <v>0</v>
      </c>
      <c r="AO73" s="299"/>
      <c r="AP73" s="301"/>
      <c r="AQ73" s="301"/>
      <c r="AT73" s="694">
        <f t="shared" si="258"/>
        <v>0</v>
      </c>
    </row>
    <row r="74" spans="2:46" ht="20.100000000000001" customHeight="1" x14ac:dyDescent="0.3">
      <c r="B74" s="92"/>
      <c r="C74" s="62" t="s">
        <v>31</v>
      </c>
      <c r="D74" s="98">
        <v>0.66700000000000004</v>
      </c>
      <c r="E74" s="689">
        <f>1*0</f>
        <v>0</v>
      </c>
      <c r="F74" s="689">
        <f>1*0</f>
        <v>0</v>
      </c>
      <c r="G74" s="98">
        <f>(5.343+4.522)*3.281</f>
        <v>32.367065000000004</v>
      </c>
      <c r="H74" s="98">
        <f>+D74</f>
        <v>0.66700000000000004</v>
      </c>
      <c r="I74" s="94">
        <v>2</v>
      </c>
      <c r="J74" s="99">
        <v>3</v>
      </c>
      <c r="K74" s="100">
        <f>+IF(D74=0.667,E74*F74*G74*H74*J74,0)</f>
        <v>0</v>
      </c>
      <c r="L74" s="100">
        <f>+IF(D74=0.333,E74*F74*G74*J74,0)</f>
        <v>0</v>
      </c>
      <c r="M74" s="99">
        <v>4</v>
      </c>
      <c r="N74" s="100">
        <f>+IF(D74=0.667,E74*F74*G74*H74*M74,0)</f>
        <v>0</v>
      </c>
      <c r="O74" s="100">
        <f>+IF(D74=0.333,E74*F74*G74*M74,0)</f>
        <v>0</v>
      </c>
      <c r="P74" s="27">
        <f>11.833-I74-M74-J74</f>
        <v>2.8330000000000002</v>
      </c>
      <c r="Q74" s="100">
        <f>+IF(D74=0.667,E74*F74*G74*H74*P74,0)</f>
        <v>0</v>
      </c>
      <c r="R74" s="100">
        <f>+IF(D74=0.333,E74*F74*G74*P74,0)</f>
        <v>0</v>
      </c>
      <c r="S74" s="101">
        <f t="shared" si="255"/>
        <v>0</v>
      </c>
      <c r="T74" s="101">
        <f t="shared" si="255"/>
        <v>0</v>
      </c>
      <c r="U74" s="92"/>
      <c r="V74" s="91"/>
      <c r="W74" s="102"/>
      <c r="X74" s="98"/>
      <c r="Y74" s="102"/>
      <c r="Z74" s="98"/>
      <c r="AA74" s="98"/>
      <c r="AB74" s="98"/>
      <c r="AC74" s="91"/>
      <c r="AD74" s="98"/>
      <c r="AE74" s="98"/>
      <c r="AF74" s="98"/>
      <c r="AG74" s="91"/>
      <c r="AH74" s="304">
        <v>1</v>
      </c>
      <c r="AI74" s="299">
        <f>+AH74*G74*D74*0.17</f>
        <v>3.6701015003500008</v>
      </c>
      <c r="AK74" s="301">
        <f t="shared" si="256"/>
        <v>0</v>
      </c>
      <c r="AL74" s="301">
        <f t="shared" si="257"/>
        <v>0</v>
      </c>
      <c r="AM74" s="301"/>
      <c r="AN74" s="301"/>
      <c r="AO74" s="299"/>
      <c r="AP74" s="301"/>
      <c r="AQ74" s="301"/>
      <c r="AT74" s="694">
        <f t="shared" si="258"/>
        <v>0</v>
      </c>
    </row>
    <row r="75" spans="2:46" ht="20.100000000000001" customHeight="1" x14ac:dyDescent="0.3">
      <c r="B75" s="92"/>
      <c r="C75" s="62" t="s">
        <v>32</v>
      </c>
      <c r="D75" s="98">
        <v>0.66700000000000004</v>
      </c>
      <c r="E75" s="689">
        <f>1*0</f>
        <v>0</v>
      </c>
      <c r="F75" s="689">
        <f>1*0</f>
        <v>0</v>
      </c>
      <c r="G75" s="98">
        <f>(3.161+2.629)*3.281</f>
        <v>18.99699</v>
      </c>
      <c r="H75" s="98">
        <f>+D75</f>
        <v>0.66700000000000004</v>
      </c>
      <c r="I75" s="94">
        <v>2</v>
      </c>
      <c r="J75" s="99">
        <v>3</v>
      </c>
      <c r="K75" s="100">
        <f>+IF(D75=0.667,E75*F75*G75*H75*J75,0)</f>
        <v>0</v>
      </c>
      <c r="L75" s="100">
        <f>+IF(D75=0.333,E75*F75*G75*J75,0)</f>
        <v>0</v>
      </c>
      <c r="M75" s="99">
        <v>4</v>
      </c>
      <c r="N75" s="100">
        <f>+IF(D75=0.667,E75*F75*G75*H75*M75,0)</f>
        <v>0</v>
      </c>
      <c r="O75" s="100">
        <f>+IF(D75=0.333,E75*F75*G75*M75,0)</f>
        <v>0</v>
      </c>
      <c r="P75" s="27">
        <f>11.833-I75-M75-J75</f>
        <v>2.8330000000000002</v>
      </c>
      <c r="Q75" s="100">
        <f>+IF(D75=0.667,E75*F75*G75*H75*P75,0)</f>
        <v>0</v>
      </c>
      <c r="R75" s="100">
        <f>+IF(D75=0.333,E75*F75*G75*P75,0)</f>
        <v>0</v>
      </c>
      <c r="S75" s="101">
        <f t="shared" si="255"/>
        <v>0</v>
      </c>
      <c r="T75" s="101">
        <f t="shared" si="255"/>
        <v>0</v>
      </c>
      <c r="U75" s="92"/>
      <c r="V75" s="91"/>
      <c r="W75" s="102"/>
      <c r="X75" s="98"/>
      <c r="Y75" s="102"/>
      <c r="Z75" s="98"/>
      <c r="AA75" s="98"/>
      <c r="AB75" s="98"/>
      <c r="AC75" s="91"/>
      <c r="AD75" s="98"/>
      <c r="AE75" s="98"/>
      <c r="AF75" s="98"/>
      <c r="AG75" s="91"/>
      <c r="AH75" s="304">
        <v>1</v>
      </c>
      <c r="AI75" s="299">
        <f>+AH75*G75*D75*0.17</f>
        <v>2.1540686961000004</v>
      </c>
      <c r="AK75" s="301">
        <f t="shared" si="256"/>
        <v>0</v>
      </c>
      <c r="AL75" s="301">
        <f t="shared" si="257"/>
        <v>0</v>
      </c>
      <c r="AM75" s="301"/>
      <c r="AN75" s="301"/>
      <c r="AO75" s="299"/>
      <c r="AP75" s="301"/>
      <c r="AQ75" s="301"/>
      <c r="AT75" s="694">
        <f t="shared" si="258"/>
        <v>0</v>
      </c>
    </row>
    <row r="76" spans="2:46" ht="20.100000000000001" customHeight="1" x14ac:dyDescent="0.3">
      <c r="B76" s="18"/>
      <c r="C76" s="62" t="s">
        <v>48</v>
      </c>
      <c r="D76" s="298">
        <v>0.66700000000000004</v>
      </c>
      <c r="E76" s="689">
        <f>-1*0</f>
        <v>0</v>
      </c>
      <c r="F76" s="689">
        <f>2*0</f>
        <v>0</v>
      </c>
      <c r="G76" s="20">
        <v>5</v>
      </c>
      <c r="H76" s="20">
        <f t="shared" ref="H76" si="270">+D76</f>
        <v>0.66700000000000004</v>
      </c>
      <c r="I76" s="21"/>
      <c r="J76" s="81"/>
      <c r="K76" s="103">
        <f t="shared" ref="K76" si="271">+IF(D76=0.667,E76*F76*G76*H76*J76,0)</f>
        <v>0</v>
      </c>
      <c r="L76" s="103">
        <f t="shared" ref="L76" si="272">+IF(D76=0.333,E76*F76*G76*J76,0)</f>
        <v>0</v>
      </c>
      <c r="M76" s="81">
        <v>2.25</v>
      </c>
      <c r="N76" s="103">
        <f t="shared" ref="N76" si="273">+IF(D76=0.667,E76*F76*G76*H76*M76,0)</f>
        <v>0</v>
      </c>
      <c r="O76" s="103">
        <f t="shared" ref="O76" si="274">+IF(D76=0.333,E76*F76*G76*M76,0)</f>
        <v>0</v>
      </c>
      <c r="P76" s="27"/>
      <c r="Q76" s="103">
        <f t="shared" ref="Q76" si="275">+IF(D76=0.667,E76*F76*G76*H76*P76,0)</f>
        <v>0</v>
      </c>
      <c r="R76" s="103">
        <f t="shared" ref="R76" si="276">+IF(D76=0.333,E76*F76*G76*P76,0)</f>
        <v>0</v>
      </c>
      <c r="S76" s="104">
        <f t="shared" si="255"/>
        <v>0</v>
      </c>
      <c r="T76" s="104">
        <f t="shared" si="255"/>
        <v>0</v>
      </c>
      <c r="U76" s="18"/>
      <c r="V76" s="26"/>
      <c r="W76" s="21">
        <f>+G76+D76</f>
        <v>5.6669999999999998</v>
      </c>
      <c r="X76" s="21">
        <v>0.5</v>
      </c>
      <c r="Y76" s="21">
        <f>+IF(D76=0.667,-E76*F76*H76*W76*X76,0)</f>
        <v>0</v>
      </c>
      <c r="Z76" s="21">
        <f>+IF(D76=0.333,-E76*F76*H76*W76*X76,0)</f>
        <v>0</v>
      </c>
      <c r="AA76" s="21">
        <f>+F76*G76*H76</f>
        <v>0</v>
      </c>
      <c r="AB76" s="21">
        <f t="shared" ref="AB76" si="277">2*F76*W76*X76</f>
        <v>0</v>
      </c>
      <c r="AC76" s="27"/>
      <c r="AD76" s="21">
        <v>0.16700000000000001</v>
      </c>
      <c r="AE76" s="21">
        <f t="shared" ref="AE76" si="278">+IF(D76=0.667,AD76*W76*H76*F76,0)</f>
        <v>0</v>
      </c>
      <c r="AF76" s="21">
        <f t="shared" ref="AF76" si="279">+IF(D76=0.333,AD76*W76*H76*F76,0)</f>
        <v>0</v>
      </c>
      <c r="AG76" s="27"/>
      <c r="AH76" s="396"/>
      <c r="AI76" s="21">
        <f t="shared" ref="AI76" si="280">+AH76*G76*D76*0.17</f>
        <v>0</v>
      </c>
      <c r="AK76" s="301"/>
      <c r="AL76" s="301"/>
      <c r="AM76" s="301"/>
      <c r="AN76" s="301"/>
      <c r="AO76" s="299"/>
      <c r="AP76" s="301"/>
      <c r="AQ76" s="301"/>
      <c r="AT76" s="694">
        <f t="shared" si="258"/>
        <v>0</v>
      </c>
    </row>
    <row r="77" spans="2:46" ht="20.100000000000001" customHeight="1" x14ac:dyDescent="0.3">
      <c r="B77" s="92"/>
      <c r="C77" s="62" t="s">
        <v>38</v>
      </c>
      <c r="D77" s="98">
        <v>0.33300000000000002</v>
      </c>
      <c r="E77" s="689">
        <f t="shared" ref="E77:F79" si="281">1*0</f>
        <v>0</v>
      </c>
      <c r="F77" s="689">
        <f t="shared" si="281"/>
        <v>0</v>
      </c>
      <c r="G77" s="98">
        <f>(11.84)*3.281</f>
        <v>38.84704</v>
      </c>
      <c r="H77" s="98">
        <f>+D77</f>
        <v>0.33300000000000002</v>
      </c>
      <c r="I77" s="94">
        <v>2</v>
      </c>
      <c r="J77" s="99">
        <v>3</v>
      </c>
      <c r="K77" s="100">
        <f>+IF(D77=0.667,E77*F77*G77*H77*J77,0)</f>
        <v>0</v>
      </c>
      <c r="L77" s="100">
        <f>+IF(D77=0.333,E77*F77*G77*J77,0)</f>
        <v>0</v>
      </c>
      <c r="M77" s="99">
        <v>4</v>
      </c>
      <c r="N77" s="100">
        <f>+IF(D77=0.667,E77*F77*G77*H77*M77,0)</f>
        <v>0</v>
      </c>
      <c r="O77" s="100">
        <f>+IF(D77=0.333,E77*F77*G77*M77,0)</f>
        <v>0</v>
      </c>
      <c r="P77" s="27">
        <f>11.833-I77-M77-J77</f>
        <v>2.8330000000000002</v>
      </c>
      <c r="Q77" s="100">
        <f>+IF(D77=0.667,E77*F77*G77*H77*P77,0)</f>
        <v>0</v>
      </c>
      <c r="R77" s="100">
        <f>+IF(D77=0.333,E77*F77*G77*P77,0)</f>
        <v>0</v>
      </c>
      <c r="S77" s="101">
        <f t="shared" si="255"/>
        <v>0</v>
      </c>
      <c r="T77" s="101">
        <f t="shared" si="255"/>
        <v>0</v>
      </c>
      <c r="U77" s="92"/>
      <c r="V77" s="91"/>
      <c r="W77" s="102"/>
      <c r="X77" s="98"/>
      <c r="Y77" s="102"/>
      <c r="Z77" s="98"/>
      <c r="AA77" s="98"/>
      <c r="AB77" s="98"/>
      <c r="AC77" s="91"/>
      <c r="AD77" s="98"/>
      <c r="AE77" s="98"/>
      <c r="AF77" s="98"/>
      <c r="AG77" s="91"/>
      <c r="AH77" s="304">
        <v>1</v>
      </c>
      <c r="AI77" s="299">
        <f>+AH77*G77*D77*0.17</f>
        <v>2.1991309344000003</v>
      </c>
      <c r="AK77" s="301">
        <f t="shared" ref="AK77:AK79" si="282">+IF(D77=0.667,E77*F77*G77,0)</f>
        <v>0</v>
      </c>
      <c r="AL77" s="301">
        <f t="shared" ref="AL77:AL79" si="283">+IF(D77=0.333,E77*F77*G77,0)</f>
        <v>0</v>
      </c>
      <c r="AM77" s="301"/>
      <c r="AN77" s="301"/>
      <c r="AO77" s="299"/>
      <c r="AP77" s="301"/>
      <c r="AQ77" s="301"/>
      <c r="AT77" s="694">
        <f t="shared" si="258"/>
        <v>0</v>
      </c>
    </row>
    <row r="78" spans="2:46" ht="26.25" customHeight="1" x14ac:dyDescent="0.3">
      <c r="B78" s="92"/>
      <c r="C78" s="62" t="s">
        <v>339</v>
      </c>
      <c r="D78" s="98">
        <v>0.66700000000000004</v>
      </c>
      <c r="E78" s="689">
        <f t="shared" si="281"/>
        <v>0</v>
      </c>
      <c r="F78" s="689">
        <f t="shared" si="281"/>
        <v>0</v>
      </c>
      <c r="G78" s="98">
        <f>(5.343+2.761)*3.281</f>
        <v>26.589223999999998</v>
      </c>
      <c r="H78" s="98">
        <f>+D78</f>
        <v>0.66700000000000004</v>
      </c>
      <c r="I78" s="94">
        <v>2</v>
      </c>
      <c r="J78" s="99">
        <v>3</v>
      </c>
      <c r="K78" s="100">
        <f>+IF(D78=0.667,E78*F78*G78*H78*J78,0)</f>
        <v>0</v>
      </c>
      <c r="L78" s="100">
        <f>+IF(D78=0.333,E78*F78*G78*J78,0)</f>
        <v>0</v>
      </c>
      <c r="M78" s="99">
        <v>4</v>
      </c>
      <c r="N78" s="100">
        <f>+IF(D78=0.667,E78*F78*G78*H78*M78,0)</f>
        <v>0</v>
      </c>
      <c r="O78" s="100">
        <f>+IF(D78=0.333,E78*F78*G78*M78,0)</f>
        <v>0</v>
      </c>
      <c r="P78" s="27">
        <f>11.833-I78-M78-J78</f>
        <v>2.8330000000000002</v>
      </c>
      <c r="Q78" s="100">
        <f>+IF(D78=0.667,E78*F78*G78*H78*P78,0)</f>
        <v>0</v>
      </c>
      <c r="R78" s="100">
        <f>+IF(D78=0.333,E78*F78*G78*P78,0)</f>
        <v>0</v>
      </c>
      <c r="S78" s="101">
        <f t="shared" si="255"/>
        <v>0</v>
      </c>
      <c r="T78" s="101">
        <f t="shared" si="255"/>
        <v>0</v>
      </c>
      <c r="U78" s="92"/>
      <c r="V78" s="91"/>
      <c r="W78" s="102"/>
      <c r="X78" s="98"/>
      <c r="Y78" s="102"/>
      <c r="Z78" s="98"/>
      <c r="AA78" s="98"/>
      <c r="AB78" s="98"/>
      <c r="AC78" s="91"/>
      <c r="AD78" s="98"/>
      <c r="AE78" s="98"/>
      <c r="AF78" s="98"/>
      <c r="AG78" s="91"/>
      <c r="AH78" s="304">
        <v>1</v>
      </c>
      <c r="AI78" s="299">
        <f>+AH78*G78*D78*0.17</f>
        <v>3.0149521093600002</v>
      </c>
      <c r="AK78" s="301">
        <f t="shared" si="282"/>
        <v>0</v>
      </c>
      <c r="AL78" s="301">
        <f t="shared" si="283"/>
        <v>0</v>
      </c>
      <c r="AM78" s="301"/>
      <c r="AN78" s="301"/>
      <c r="AO78" s="299"/>
      <c r="AP78" s="301"/>
      <c r="AQ78" s="301"/>
      <c r="AT78" s="694">
        <f t="shared" si="258"/>
        <v>0</v>
      </c>
    </row>
    <row r="79" spans="2:46" ht="20.100000000000001" customHeight="1" x14ac:dyDescent="0.3">
      <c r="B79" s="18"/>
      <c r="C79" s="62" t="s">
        <v>43</v>
      </c>
      <c r="D79" s="298">
        <v>0.66700000000000004</v>
      </c>
      <c r="E79" s="689">
        <f t="shared" si="281"/>
        <v>0</v>
      </c>
      <c r="F79" s="689">
        <f t="shared" si="281"/>
        <v>0</v>
      </c>
      <c r="G79" s="20">
        <f>(1.705+262+1.88)*3.281</f>
        <v>871.38438499999995</v>
      </c>
      <c r="H79" s="20">
        <f>+D79</f>
        <v>0.66700000000000004</v>
      </c>
      <c r="I79" s="21">
        <v>2</v>
      </c>
      <c r="J79" s="81">
        <v>3</v>
      </c>
      <c r="K79" s="103">
        <f>+IF(D79=0.667,E79*F79*G79*H79*J79,0)</f>
        <v>0</v>
      </c>
      <c r="L79" s="103">
        <f>+IF(D79=0.333,E79*F79*G79*J79,0)</f>
        <v>0</v>
      </c>
      <c r="M79" s="81">
        <v>4</v>
      </c>
      <c r="N79" s="103">
        <f>+IF(D79=0.667,E79*F79*G79*H79*M79,0)</f>
        <v>0</v>
      </c>
      <c r="O79" s="103">
        <f>+IF(D79=0.333,E79*F79*G79*M79,0)</f>
        <v>0</v>
      </c>
      <c r="P79" s="27">
        <f>11.833-I79-M79-J79</f>
        <v>2.8330000000000002</v>
      </c>
      <c r="Q79" s="103">
        <f>+IF(D79=0.667,E79*F79*G79*H79*P79,0)</f>
        <v>0</v>
      </c>
      <c r="R79" s="103">
        <f>+IF(D79=0.333,E79*F79*G79*P79,0)</f>
        <v>0</v>
      </c>
      <c r="S79" s="104">
        <f t="shared" si="255"/>
        <v>0</v>
      </c>
      <c r="T79" s="104">
        <f t="shared" si="255"/>
        <v>0</v>
      </c>
      <c r="U79" s="18"/>
      <c r="V79" s="26"/>
      <c r="W79" s="21"/>
      <c r="X79" s="21"/>
      <c r="Y79" s="21"/>
      <c r="Z79" s="21"/>
      <c r="AA79" s="21"/>
      <c r="AB79" s="21"/>
      <c r="AC79" s="27"/>
      <c r="AD79" s="21"/>
      <c r="AE79" s="21"/>
      <c r="AF79" s="21"/>
      <c r="AG79" s="27"/>
      <c r="AH79" s="396">
        <v>1</v>
      </c>
      <c r="AI79" s="21">
        <f>+AH79*G79*D79*0.17</f>
        <v>98.806275415150012</v>
      </c>
      <c r="AK79" s="301">
        <f t="shared" si="282"/>
        <v>0</v>
      </c>
      <c r="AL79" s="301">
        <f t="shared" si="283"/>
        <v>0</v>
      </c>
      <c r="AM79" s="301"/>
      <c r="AN79" s="301"/>
      <c r="AO79" s="299"/>
      <c r="AP79" s="301"/>
      <c r="AQ79" s="301"/>
      <c r="AT79" s="694">
        <f t="shared" si="258"/>
        <v>0</v>
      </c>
    </row>
    <row r="80" spans="2:46" ht="20.100000000000001" customHeight="1" x14ac:dyDescent="0.3">
      <c r="B80" s="18"/>
      <c r="C80" s="62" t="s">
        <v>246</v>
      </c>
      <c r="D80" s="298">
        <v>0.66700000000000004</v>
      </c>
      <c r="E80" s="689">
        <f>-1*0</f>
        <v>0</v>
      </c>
      <c r="F80" s="689">
        <f>2*0</f>
        <v>0</v>
      </c>
      <c r="G80" s="20">
        <v>2</v>
      </c>
      <c r="H80" s="20">
        <f t="shared" ref="H80" si="284">+D80</f>
        <v>0.66700000000000004</v>
      </c>
      <c r="I80" s="21"/>
      <c r="J80" s="81"/>
      <c r="K80" s="103">
        <f t="shared" ref="K80" si="285">+IF(D80=0.667,E80*F80*G80*H80*J80,0)</f>
        <v>0</v>
      </c>
      <c r="L80" s="103">
        <f t="shared" ref="L80" si="286">+IF(D80=0.333,E80*F80*G80*J80,0)</f>
        <v>0</v>
      </c>
      <c r="M80" s="81">
        <v>0</v>
      </c>
      <c r="N80" s="103">
        <f t="shared" ref="N80" si="287">+IF(D80=0.667,E80*F80*G80*H80*M80,0)</f>
        <v>0</v>
      </c>
      <c r="O80" s="103">
        <f t="shared" ref="O80" si="288">+IF(D80=0.333,E80*F80*G80*M80,0)</f>
        <v>0</v>
      </c>
      <c r="P80" s="27">
        <v>2</v>
      </c>
      <c r="Q80" s="103">
        <f t="shared" ref="Q80" si="289">+IF(D80=0.667,E80*F80*G80*H80*P80,0)</f>
        <v>0</v>
      </c>
      <c r="R80" s="103">
        <f t="shared" ref="R80" si="290">+IF(D80=0.333,E80*F80*G80*P80,0)</f>
        <v>0</v>
      </c>
      <c r="S80" s="104">
        <f t="shared" si="255"/>
        <v>0</v>
      </c>
      <c r="T80" s="104">
        <f t="shared" si="255"/>
        <v>0</v>
      </c>
      <c r="U80" s="18"/>
      <c r="V80" s="26"/>
      <c r="W80" s="21">
        <f>+G80+D80</f>
        <v>2.6669999999999998</v>
      </c>
      <c r="X80" s="21">
        <v>0.5</v>
      </c>
      <c r="Y80" s="21">
        <f>+IF(D80=0.667,-E80*F80*H80*W80*X80,0)</f>
        <v>0</v>
      </c>
      <c r="Z80" s="21">
        <f>+IF(D80=0.333,-E80*F80*H80*W80*X80,0)</f>
        <v>0</v>
      </c>
      <c r="AA80" s="21">
        <f>+F80*G80*H80</f>
        <v>0</v>
      </c>
      <c r="AB80" s="21">
        <f t="shared" ref="AB80" si="291">2*F80*W80*X80</f>
        <v>0</v>
      </c>
      <c r="AC80" s="27"/>
      <c r="AD80" s="21">
        <v>0.16700000000000001</v>
      </c>
      <c r="AE80" s="21">
        <f t="shared" ref="AE80" si="292">+IF(D80=0.667,AD80*W80*H80*F80,0)</f>
        <v>0</v>
      </c>
      <c r="AF80" s="21">
        <f t="shared" ref="AF80" si="293">+IF(D80=0.333,AD80*W80*H80*F80,0)</f>
        <v>0</v>
      </c>
      <c r="AG80" s="27"/>
      <c r="AH80" s="396"/>
      <c r="AI80" s="21">
        <f t="shared" ref="AI80" si="294">+AH80*G80*D80*0.17</f>
        <v>0</v>
      </c>
      <c r="AK80" s="301"/>
      <c r="AL80" s="301"/>
      <c r="AM80" s="301"/>
      <c r="AN80" s="301"/>
      <c r="AO80" s="299"/>
      <c r="AP80" s="301"/>
      <c r="AQ80" s="301"/>
      <c r="AT80" s="694">
        <f t="shared" si="258"/>
        <v>0</v>
      </c>
    </row>
    <row r="81" spans="2:46" ht="27.6" x14ac:dyDescent="0.3">
      <c r="B81" s="92"/>
      <c r="C81" s="62" t="s">
        <v>340</v>
      </c>
      <c r="D81" s="98">
        <v>0.33300000000000002</v>
      </c>
      <c r="E81" s="688">
        <f>1*0</f>
        <v>0</v>
      </c>
      <c r="F81" s="688">
        <f>1*0</f>
        <v>0</v>
      </c>
      <c r="G81" s="98">
        <f>(3.66)*3.281</f>
        <v>12.008460000000001</v>
      </c>
      <c r="H81" s="98">
        <f>+D81</f>
        <v>0.33300000000000002</v>
      </c>
      <c r="I81" s="94">
        <v>2</v>
      </c>
      <c r="J81" s="99">
        <v>3</v>
      </c>
      <c r="K81" s="100">
        <f>+IF(D81=0.667,E81*F81*G81*H81*J81,0)</f>
        <v>0</v>
      </c>
      <c r="L81" s="100">
        <f>+IF(D81=0.333,E81*F81*G81*J81,0)</f>
        <v>0</v>
      </c>
      <c r="M81" s="99">
        <v>4</v>
      </c>
      <c r="N81" s="100">
        <f>+IF(D81=0.667,E81*F81*G81*H81*M81,0)</f>
        <v>0</v>
      </c>
      <c r="O81" s="100">
        <f>+IF(D81=0.333,E81*F81*G81*M81,0)</f>
        <v>0</v>
      </c>
      <c r="P81" s="27">
        <f t="shared" ref="P81:P82" si="295">11.833-I81-M81-J81</f>
        <v>2.8330000000000002</v>
      </c>
      <c r="Q81" s="100">
        <f>+IF(D81=0.667,E81*F81*G81*H81*P81,0)</f>
        <v>0</v>
      </c>
      <c r="R81" s="100">
        <f>+IF(D81=0.333,E81*F81*G81*P81,0)</f>
        <v>0</v>
      </c>
      <c r="S81" s="101">
        <f t="shared" si="255"/>
        <v>0</v>
      </c>
      <c r="T81" s="101">
        <f t="shared" si="255"/>
        <v>0</v>
      </c>
      <c r="U81" s="92"/>
      <c r="V81" s="91"/>
      <c r="W81" s="102"/>
      <c r="X81" s="98"/>
      <c r="Y81" s="102"/>
      <c r="Z81" s="98"/>
      <c r="AA81" s="98"/>
      <c r="AB81" s="98"/>
      <c r="AC81" s="91"/>
      <c r="AD81" s="98"/>
      <c r="AE81" s="98"/>
      <c r="AF81" s="98"/>
      <c r="AG81" s="91"/>
      <c r="AH81" s="304">
        <v>1</v>
      </c>
      <c r="AI81" s="299">
        <f>+AH81*G81*D81*0.17</f>
        <v>0.67979892060000013</v>
      </c>
      <c r="AK81" s="301">
        <f t="shared" ref="AK81:AK89" si="296">+IF(D81=0.667,E81*F81*G81,0)</f>
        <v>0</v>
      </c>
      <c r="AL81" s="301">
        <f t="shared" ref="AL81:AL87" si="297">+IF(D81=0.333,E81*F81*G81,0)</f>
        <v>0</v>
      </c>
      <c r="AM81" s="301"/>
      <c r="AN81" s="301"/>
      <c r="AO81" s="299"/>
      <c r="AP81" s="301"/>
      <c r="AQ81" s="301"/>
      <c r="AT81" s="694">
        <f t="shared" si="258"/>
        <v>0</v>
      </c>
    </row>
    <row r="82" spans="2:46" ht="27.6" x14ac:dyDescent="0.3">
      <c r="B82" s="92"/>
      <c r="C82" s="62" t="s">
        <v>340</v>
      </c>
      <c r="D82" s="98">
        <v>0.33300000000000002</v>
      </c>
      <c r="E82" s="688">
        <f>1*0</f>
        <v>0</v>
      </c>
      <c r="F82" s="688">
        <f>1*0</f>
        <v>0</v>
      </c>
      <c r="G82" s="98">
        <f>(0.65+1.735+2.135+2.98+3.06)*3.281</f>
        <v>34.647360000000006</v>
      </c>
      <c r="H82" s="98">
        <f>+D82</f>
        <v>0.33300000000000002</v>
      </c>
      <c r="I82" s="94">
        <v>2</v>
      </c>
      <c r="J82" s="99">
        <v>3</v>
      </c>
      <c r="K82" s="100">
        <f>+IF(D82=0.667,E82*F82*G82*H82*J82,0)</f>
        <v>0</v>
      </c>
      <c r="L82" s="100">
        <f>+IF(D82=0.333,E82*F82*G82*J82,0)</f>
        <v>0</v>
      </c>
      <c r="M82" s="99">
        <v>4</v>
      </c>
      <c r="N82" s="100">
        <f>+IF(D82=0.667,E82*F82*G82*H82*M82,0)</f>
        <v>0</v>
      </c>
      <c r="O82" s="100">
        <f>+IF(D82=0.333,E82*F82*G82*M82,0)</f>
        <v>0</v>
      </c>
      <c r="P82" s="27">
        <f t="shared" si="295"/>
        <v>2.8330000000000002</v>
      </c>
      <c r="Q82" s="100">
        <f>+IF(D82=0.667,E82*F82*G82*H82*P82,0)</f>
        <v>0</v>
      </c>
      <c r="R82" s="100">
        <f>+IF(D82=0.333,E82*F82*G82*P82,0)</f>
        <v>0</v>
      </c>
      <c r="S82" s="101">
        <f t="shared" si="255"/>
        <v>0</v>
      </c>
      <c r="T82" s="101">
        <f t="shared" si="255"/>
        <v>0</v>
      </c>
      <c r="U82" s="92"/>
      <c r="V82" s="91"/>
      <c r="W82" s="102"/>
      <c r="X82" s="98"/>
      <c r="Y82" s="102"/>
      <c r="Z82" s="98"/>
      <c r="AA82" s="98"/>
      <c r="AB82" s="98"/>
      <c r="AC82" s="91"/>
      <c r="AD82" s="98"/>
      <c r="AE82" s="98"/>
      <c r="AF82" s="98"/>
      <c r="AG82" s="91"/>
      <c r="AH82" s="304">
        <v>1</v>
      </c>
      <c r="AI82" s="299">
        <f>+AH82*G82*D82*0.17</f>
        <v>1.9613870496000005</v>
      </c>
      <c r="AK82" s="301">
        <f t="shared" si="296"/>
        <v>0</v>
      </c>
      <c r="AL82" s="301">
        <f t="shared" si="297"/>
        <v>0</v>
      </c>
      <c r="AM82" s="301"/>
      <c r="AN82" s="301"/>
      <c r="AO82" s="299"/>
      <c r="AP82" s="301"/>
      <c r="AQ82" s="301"/>
      <c r="AT82" s="694">
        <f t="shared" si="258"/>
        <v>0</v>
      </c>
    </row>
    <row r="83" spans="2:46" ht="20.100000000000001" customHeight="1" x14ac:dyDescent="0.3">
      <c r="B83" s="18"/>
      <c r="C83" s="62" t="s">
        <v>337</v>
      </c>
      <c r="D83" s="98">
        <v>0.33300000000000002</v>
      </c>
      <c r="E83" s="689">
        <f>-1*0</f>
        <v>0</v>
      </c>
      <c r="F83" s="689">
        <f>2*0</f>
        <v>0</v>
      </c>
      <c r="G83" s="20">
        <v>2.5</v>
      </c>
      <c r="H83" s="20">
        <f t="shared" ref="H83:H84" si="298">+D83</f>
        <v>0.33300000000000002</v>
      </c>
      <c r="I83" s="21"/>
      <c r="J83" s="81">
        <v>3</v>
      </c>
      <c r="K83" s="103">
        <f t="shared" ref="K83:K84" si="299">+IF(D83=0.667,E83*F83*G83*H83*J83,0)</f>
        <v>0</v>
      </c>
      <c r="L83" s="103">
        <f t="shared" ref="L83:L84" si="300">+IF(D83=0.333,E83*F83*G83*J83,0)</f>
        <v>0</v>
      </c>
      <c r="M83" s="81">
        <v>3</v>
      </c>
      <c r="N83" s="103">
        <f t="shared" ref="N83:N84" si="301">+IF(D83=0.667,E83*F83*G83*H83*M83,0)</f>
        <v>0</v>
      </c>
      <c r="O83" s="103">
        <f t="shared" ref="O83:O84" si="302">+IF(D83=0.333,E83*F83*G83*M83,0)</f>
        <v>0</v>
      </c>
      <c r="P83" s="27"/>
      <c r="Q83" s="103">
        <f t="shared" ref="Q83:Q84" si="303">+IF(D83=0.667,E83*F83*G83*H83*P83,0)</f>
        <v>0</v>
      </c>
      <c r="R83" s="103">
        <f t="shared" ref="R83:R84" si="304">+IF(D83=0.333,E83*F83*G83*P83,0)</f>
        <v>0</v>
      </c>
      <c r="S83" s="104">
        <f t="shared" si="255"/>
        <v>0</v>
      </c>
      <c r="T83" s="104">
        <f t="shared" si="255"/>
        <v>0</v>
      </c>
      <c r="U83" s="18"/>
      <c r="V83" s="26"/>
      <c r="W83" s="21">
        <f>+G83+D83</f>
        <v>2.8330000000000002</v>
      </c>
      <c r="X83" s="21">
        <v>0.5</v>
      </c>
      <c r="Y83" s="21">
        <f>+IF(D83=0.667,-E83*F83*H83*W83*X83,0)</f>
        <v>0</v>
      </c>
      <c r="Z83" s="21">
        <f>+IF(D83=0.333,-E83*F83*H83*W83*X83,0)</f>
        <v>0</v>
      </c>
      <c r="AA83" s="21">
        <f>+F83*G83*H83</f>
        <v>0</v>
      </c>
      <c r="AB83" s="21">
        <f t="shared" ref="AB83:AB84" si="305">2*F83*W83*X83</f>
        <v>0</v>
      </c>
      <c r="AC83" s="27"/>
      <c r="AD83" s="21"/>
      <c r="AE83" s="21">
        <f t="shared" ref="AE83:AE84" si="306">+IF(D83=0.667,AD83*W83*H83*F83,0)</f>
        <v>0</v>
      </c>
      <c r="AF83" s="21">
        <f t="shared" ref="AF83:AF84" si="307">+IF(D83=0.333,AD83*W83*H83*F83,0)</f>
        <v>0</v>
      </c>
      <c r="AG83" s="27"/>
      <c r="AH83" s="396"/>
      <c r="AI83" s="21">
        <f t="shared" ref="AI83:AI84" si="308">+AH83*G83*D83*0.17</f>
        <v>0</v>
      </c>
      <c r="AK83" s="301">
        <f t="shared" si="296"/>
        <v>0</v>
      </c>
      <c r="AL83" s="301">
        <f t="shared" si="297"/>
        <v>0</v>
      </c>
      <c r="AM83" s="301"/>
      <c r="AN83" s="301">
        <f>+IF(D83=0.333,1.33,0)*0</f>
        <v>0</v>
      </c>
      <c r="AO83" s="299"/>
      <c r="AP83" s="301"/>
      <c r="AQ83" s="301"/>
      <c r="AT83" s="694">
        <f t="shared" si="258"/>
        <v>0</v>
      </c>
    </row>
    <row r="84" spans="2:46" ht="20.100000000000001" customHeight="1" x14ac:dyDescent="0.3">
      <c r="B84" s="18"/>
      <c r="C84" s="62" t="s">
        <v>341</v>
      </c>
      <c r="D84" s="98">
        <v>0.33300000000000002</v>
      </c>
      <c r="E84" s="689">
        <f>-1*0</f>
        <v>0</v>
      </c>
      <c r="F84" s="689">
        <f>1*0</f>
        <v>0</v>
      </c>
      <c r="G84" s="20">
        <v>3.25</v>
      </c>
      <c r="H84" s="20">
        <f t="shared" si="298"/>
        <v>0.33300000000000002</v>
      </c>
      <c r="I84" s="21"/>
      <c r="J84" s="81">
        <v>3</v>
      </c>
      <c r="K84" s="103">
        <f t="shared" si="299"/>
        <v>0</v>
      </c>
      <c r="L84" s="103">
        <f t="shared" si="300"/>
        <v>0</v>
      </c>
      <c r="M84" s="81">
        <v>3</v>
      </c>
      <c r="N84" s="103">
        <f t="shared" si="301"/>
        <v>0</v>
      </c>
      <c r="O84" s="103">
        <f t="shared" si="302"/>
        <v>0</v>
      </c>
      <c r="P84" s="27"/>
      <c r="Q84" s="103">
        <f t="shared" si="303"/>
        <v>0</v>
      </c>
      <c r="R84" s="103">
        <f t="shared" si="304"/>
        <v>0</v>
      </c>
      <c r="S84" s="104">
        <f t="shared" si="255"/>
        <v>0</v>
      </c>
      <c r="T84" s="104">
        <f t="shared" si="255"/>
        <v>0</v>
      </c>
      <c r="U84" s="18"/>
      <c r="V84" s="26"/>
      <c r="W84" s="21">
        <f>+G84+D84</f>
        <v>3.5830000000000002</v>
      </c>
      <c r="X84" s="21">
        <v>0.5</v>
      </c>
      <c r="Y84" s="21">
        <f>+IF(D84=0.667,-E84*F84*H84*W84*X84,0)</f>
        <v>0</v>
      </c>
      <c r="Z84" s="21">
        <f>+IF(D84=0.333,-E84*F84*H84*W84*X84,0)</f>
        <v>0</v>
      </c>
      <c r="AA84" s="21">
        <f>+F84*G84*H84</f>
        <v>0</v>
      </c>
      <c r="AB84" s="21">
        <f t="shared" si="305"/>
        <v>0</v>
      </c>
      <c r="AC84" s="27"/>
      <c r="AD84" s="21"/>
      <c r="AE84" s="21">
        <f t="shared" si="306"/>
        <v>0</v>
      </c>
      <c r="AF84" s="21">
        <f t="shared" si="307"/>
        <v>0</v>
      </c>
      <c r="AG84" s="27"/>
      <c r="AH84" s="396"/>
      <c r="AI84" s="21">
        <f t="shared" si="308"/>
        <v>0</v>
      </c>
      <c r="AK84" s="301">
        <f t="shared" si="296"/>
        <v>0</v>
      </c>
      <c r="AL84" s="301">
        <f t="shared" si="297"/>
        <v>0</v>
      </c>
      <c r="AM84" s="301"/>
      <c r="AN84" s="301">
        <f>+IF(D84=0.333,1.33,0)*0</f>
        <v>0</v>
      </c>
      <c r="AO84" s="299"/>
      <c r="AP84" s="301"/>
      <c r="AQ84" s="301"/>
      <c r="AT84" s="694">
        <f t="shared" si="258"/>
        <v>0</v>
      </c>
    </row>
    <row r="85" spans="2:46" ht="20.100000000000001" customHeight="1" x14ac:dyDescent="0.3">
      <c r="B85" s="92"/>
      <c r="C85" s="62" t="s">
        <v>342</v>
      </c>
      <c r="D85" s="98">
        <v>0.33300000000000002</v>
      </c>
      <c r="E85" s="688">
        <f>1*0</f>
        <v>0</v>
      </c>
      <c r="F85" s="688">
        <f>1*0</f>
        <v>0</v>
      </c>
      <c r="G85" s="98">
        <f>(3.89+4.57+2.135+2.135+1.736+2.135+1.39+2.985)*3.281</f>
        <v>68.822255999999996</v>
      </c>
      <c r="H85" s="98">
        <f>+D85</f>
        <v>0.33300000000000002</v>
      </c>
      <c r="I85" s="94">
        <v>2</v>
      </c>
      <c r="J85" s="99">
        <v>3</v>
      </c>
      <c r="K85" s="100">
        <f>+IF(D85=0.667,E85*F85*G85*H85*J85,0)</f>
        <v>0</v>
      </c>
      <c r="L85" s="100">
        <f>+IF(D85=0.333,E85*F85*G85*J85,0)</f>
        <v>0</v>
      </c>
      <c r="M85" s="99">
        <v>4</v>
      </c>
      <c r="N85" s="100">
        <f>+IF(D85=0.667,E85*F85*G85*H85*M85,0)</f>
        <v>0</v>
      </c>
      <c r="O85" s="100">
        <f>+IF(D85=0.333,E85*F85*G85*M85,0)</f>
        <v>0</v>
      </c>
      <c r="P85" s="27">
        <f>11.833-I85-M85-J85</f>
        <v>2.8330000000000002</v>
      </c>
      <c r="Q85" s="100">
        <f>+IF(D85=0.667,E85*F85*G85*H85*P85,0)</f>
        <v>0</v>
      </c>
      <c r="R85" s="100">
        <f>+IF(D85=0.333,E85*F85*G85*P85,0)</f>
        <v>0</v>
      </c>
      <c r="S85" s="101">
        <f t="shared" si="255"/>
        <v>0</v>
      </c>
      <c r="T85" s="101">
        <f t="shared" si="255"/>
        <v>0</v>
      </c>
      <c r="U85" s="92"/>
      <c r="V85" s="91"/>
      <c r="W85" s="102"/>
      <c r="X85" s="98"/>
      <c r="Y85" s="102"/>
      <c r="Z85" s="98"/>
      <c r="AA85" s="98"/>
      <c r="AB85" s="98"/>
      <c r="AC85" s="91"/>
      <c r="AD85" s="98"/>
      <c r="AE85" s="98"/>
      <c r="AF85" s="98"/>
      <c r="AG85" s="91"/>
      <c r="AH85" s="304">
        <v>1</v>
      </c>
      <c r="AI85" s="299">
        <f>+AH85*G85*D85*0.17</f>
        <v>3.8960279121600001</v>
      </c>
      <c r="AK85" s="301">
        <f t="shared" si="296"/>
        <v>0</v>
      </c>
      <c r="AL85" s="301">
        <f t="shared" si="297"/>
        <v>0</v>
      </c>
      <c r="AM85" s="301"/>
      <c r="AN85" s="301"/>
      <c r="AO85" s="299"/>
      <c r="AP85" s="301"/>
      <c r="AQ85" s="301"/>
      <c r="AT85" s="694">
        <f t="shared" si="258"/>
        <v>0</v>
      </c>
    </row>
    <row r="86" spans="2:46" ht="20.100000000000001" customHeight="1" x14ac:dyDescent="0.3">
      <c r="B86" s="18"/>
      <c r="C86" s="62" t="s">
        <v>337</v>
      </c>
      <c r="D86" s="98">
        <v>0.33300000000000002</v>
      </c>
      <c r="E86" s="689">
        <f>-1*0</f>
        <v>0</v>
      </c>
      <c r="F86" s="689">
        <f>4*0</f>
        <v>0</v>
      </c>
      <c r="G86" s="20">
        <v>2.5</v>
      </c>
      <c r="H86" s="20">
        <f t="shared" ref="H86:H89" si="309">+D86</f>
        <v>0.33300000000000002</v>
      </c>
      <c r="I86" s="21"/>
      <c r="J86" s="81">
        <v>3</v>
      </c>
      <c r="K86" s="103">
        <f t="shared" ref="K86:K89" si="310">+IF(D86=0.667,E86*F86*G86*H86*J86,0)</f>
        <v>0</v>
      </c>
      <c r="L86" s="103">
        <f t="shared" ref="L86:L89" si="311">+IF(D86=0.333,E86*F86*G86*J86,0)</f>
        <v>0</v>
      </c>
      <c r="M86" s="81">
        <v>3</v>
      </c>
      <c r="N86" s="103">
        <f t="shared" ref="N86:N89" si="312">+IF(D86=0.667,E86*F86*G86*H86*M86,0)</f>
        <v>0</v>
      </c>
      <c r="O86" s="103">
        <f t="shared" ref="O86:O89" si="313">+IF(D86=0.333,E86*F86*G86*M86,0)</f>
        <v>0</v>
      </c>
      <c r="P86" s="27"/>
      <c r="Q86" s="103">
        <f t="shared" ref="Q86:Q89" si="314">+IF(D86=0.667,E86*F86*G86*H86*P86,0)</f>
        <v>0</v>
      </c>
      <c r="R86" s="103">
        <f t="shared" ref="R86:R89" si="315">+IF(D86=0.333,E86*F86*G86*P86,0)</f>
        <v>0</v>
      </c>
      <c r="S86" s="104">
        <f t="shared" si="255"/>
        <v>0</v>
      </c>
      <c r="T86" s="104">
        <f t="shared" si="255"/>
        <v>0</v>
      </c>
      <c r="U86" s="18"/>
      <c r="V86" s="26"/>
      <c r="W86" s="21">
        <f>+G86+D86</f>
        <v>2.8330000000000002</v>
      </c>
      <c r="X86" s="21">
        <v>0.5</v>
      </c>
      <c r="Y86" s="21">
        <f>+IF(D86=0.667,-E86*F86*H86*W86*X86,0)</f>
        <v>0</v>
      </c>
      <c r="Z86" s="21">
        <f>+IF(D86=0.333,-E86*F86*H86*W86*X86,0)</f>
        <v>0</v>
      </c>
      <c r="AA86" s="21">
        <f>+F86*G86*H86</f>
        <v>0</v>
      </c>
      <c r="AB86" s="21">
        <f t="shared" ref="AB86:AB89" si="316">2*F86*W86*X86</f>
        <v>0</v>
      </c>
      <c r="AC86" s="27"/>
      <c r="AD86" s="21"/>
      <c r="AE86" s="21">
        <f t="shared" ref="AE86:AE89" si="317">+IF(D86=0.667,AD86*W86*H86*F86,0)</f>
        <v>0</v>
      </c>
      <c r="AF86" s="21">
        <f t="shared" ref="AF86:AF89" si="318">+IF(D86=0.333,AD86*W86*H86*F86,0)</f>
        <v>0</v>
      </c>
      <c r="AG86" s="27"/>
      <c r="AH86" s="396"/>
      <c r="AI86" s="21">
        <f t="shared" ref="AI86:AI89" si="319">+AH86*G86*D86*0.17</f>
        <v>0</v>
      </c>
      <c r="AK86" s="301">
        <f t="shared" si="296"/>
        <v>0</v>
      </c>
      <c r="AL86" s="301">
        <f t="shared" si="297"/>
        <v>0</v>
      </c>
      <c r="AM86" s="301"/>
      <c r="AN86" s="301">
        <f>+IF(D86=0.333,1.33,0)*0</f>
        <v>0</v>
      </c>
      <c r="AO86" s="299"/>
      <c r="AP86" s="301"/>
      <c r="AQ86" s="301"/>
      <c r="AT86" s="694">
        <f t="shared" si="258"/>
        <v>0</v>
      </c>
    </row>
    <row r="87" spans="2:46" ht="20.100000000000001" customHeight="1" x14ac:dyDescent="0.3">
      <c r="B87" s="18"/>
      <c r="C87" s="62" t="s">
        <v>341</v>
      </c>
      <c r="D87" s="98">
        <v>0.33300000000000002</v>
      </c>
      <c r="E87" s="689">
        <f>-1*0</f>
        <v>0</v>
      </c>
      <c r="F87" s="689">
        <f>1*0</f>
        <v>0</v>
      </c>
      <c r="G87" s="20">
        <v>3.25</v>
      </c>
      <c r="H87" s="20">
        <f t="shared" si="309"/>
        <v>0.33300000000000002</v>
      </c>
      <c r="I87" s="21"/>
      <c r="J87" s="81">
        <v>3</v>
      </c>
      <c r="K87" s="103">
        <f t="shared" si="310"/>
        <v>0</v>
      </c>
      <c r="L87" s="103">
        <f t="shared" si="311"/>
        <v>0</v>
      </c>
      <c r="M87" s="81">
        <v>3</v>
      </c>
      <c r="N87" s="103">
        <f t="shared" si="312"/>
        <v>0</v>
      </c>
      <c r="O87" s="103">
        <f t="shared" si="313"/>
        <v>0</v>
      </c>
      <c r="P87" s="27"/>
      <c r="Q87" s="103">
        <f t="shared" si="314"/>
        <v>0</v>
      </c>
      <c r="R87" s="103">
        <f t="shared" si="315"/>
        <v>0</v>
      </c>
      <c r="S87" s="104">
        <f t="shared" si="255"/>
        <v>0</v>
      </c>
      <c r="T87" s="104">
        <f t="shared" si="255"/>
        <v>0</v>
      </c>
      <c r="U87" s="18"/>
      <c r="V87" s="26"/>
      <c r="W87" s="21">
        <f>+G87+D87</f>
        <v>3.5830000000000002</v>
      </c>
      <c r="X87" s="21">
        <v>0.5</v>
      </c>
      <c r="Y87" s="21">
        <f>+IF(D87=0.667,-E87*F87*H87*W87*X87,0)</f>
        <v>0</v>
      </c>
      <c r="Z87" s="21">
        <f>+IF(D87=0.333,-E87*F87*H87*W87*X87,0)</f>
        <v>0</v>
      </c>
      <c r="AA87" s="21">
        <f>+F87*G87*H87</f>
        <v>0</v>
      </c>
      <c r="AB87" s="21">
        <f t="shared" si="316"/>
        <v>0</v>
      </c>
      <c r="AC87" s="27"/>
      <c r="AD87" s="21"/>
      <c r="AE87" s="21">
        <f t="shared" si="317"/>
        <v>0</v>
      </c>
      <c r="AF87" s="21">
        <f t="shared" si="318"/>
        <v>0</v>
      </c>
      <c r="AG87" s="27"/>
      <c r="AH87" s="396"/>
      <c r="AI87" s="21">
        <f t="shared" si="319"/>
        <v>0</v>
      </c>
      <c r="AK87" s="301">
        <f t="shared" si="296"/>
        <v>0</v>
      </c>
      <c r="AL87" s="301">
        <f t="shared" si="297"/>
        <v>0</v>
      </c>
      <c r="AM87" s="301"/>
      <c r="AN87" s="301">
        <f>+IF(D87=0.333,1.33,0)*0</f>
        <v>0</v>
      </c>
      <c r="AO87" s="299"/>
      <c r="AP87" s="301"/>
      <c r="AQ87" s="301"/>
      <c r="AT87" s="694">
        <f t="shared" si="258"/>
        <v>0</v>
      </c>
    </row>
    <row r="88" spans="2:46" ht="20.100000000000001" customHeight="1" x14ac:dyDescent="0.3">
      <c r="B88" s="18"/>
      <c r="C88" s="62" t="s">
        <v>343</v>
      </c>
      <c r="D88" s="298">
        <v>0.33300000000000002</v>
      </c>
      <c r="E88" s="689">
        <f>1*0</f>
        <v>0</v>
      </c>
      <c r="F88" s="689">
        <f>1*0</f>
        <v>0</v>
      </c>
      <c r="G88" s="20">
        <f>(1.05+1.05+1.05)*3.281</f>
        <v>10.335150000000002</v>
      </c>
      <c r="H88" s="20">
        <f t="shared" si="309"/>
        <v>0.33300000000000002</v>
      </c>
      <c r="I88" s="94">
        <v>2</v>
      </c>
      <c r="J88" s="81">
        <v>3</v>
      </c>
      <c r="K88" s="103">
        <f t="shared" si="310"/>
        <v>0</v>
      </c>
      <c r="L88" s="103">
        <f t="shared" si="311"/>
        <v>0</v>
      </c>
      <c r="M88" s="81"/>
      <c r="N88" s="103">
        <f t="shared" si="312"/>
        <v>0</v>
      </c>
      <c r="O88" s="103">
        <f t="shared" si="313"/>
        <v>0</v>
      </c>
      <c r="P88" s="27"/>
      <c r="Q88" s="103">
        <f t="shared" si="314"/>
        <v>0</v>
      </c>
      <c r="R88" s="103">
        <f t="shared" si="315"/>
        <v>0</v>
      </c>
      <c r="S88" s="104">
        <f t="shared" ref="S88:T89" si="320">+Q88+N88+K88</f>
        <v>0</v>
      </c>
      <c r="T88" s="104">
        <f t="shared" si="320"/>
        <v>0</v>
      </c>
      <c r="U88" s="18"/>
      <c r="V88" s="26"/>
      <c r="W88" s="21"/>
      <c r="X88" s="21"/>
      <c r="Y88" s="21"/>
      <c r="Z88" s="21"/>
      <c r="AA88" s="21"/>
      <c r="AB88" s="21">
        <f t="shared" si="316"/>
        <v>0</v>
      </c>
      <c r="AC88" s="27"/>
      <c r="AD88" s="21"/>
      <c r="AE88" s="21">
        <f t="shared" si="317"/>
        <v>0</v>
      </c>
      <c r="AF88" s="21">
        <f t="shared" si="318"/>
        <v>0</v>
      </c>
      <c r="AG88" s="27"/>
      <c r="AH88" s="396">
        <v>1</v>
      </c>
      <c r="AI88" s="21">
        <f t="shared" si="319"/>
        <v>0.58507284150000016</v>
      </c>
      <c r="AK88" s="301">
        <f t="shared" si="296"/>
        <v>0</v>
      </c>
      <c r="AL88" s="301"/>
      <c r="AM88" s="301"/>
      <c r="AN88" s="301"/>
      <c r="AO88" s="299">
        <f>+E88*F88*G88</f>
        <v>0</v>
      </c>
      <c r="AP88" s="301"/>
      <c r="AQ88" s="301"/>
      <c r="AT88" s="694">
        <f t="shared" si="258"/>
        <v>0</v>
      </c>
    </row>
    <row r="89" spans="2:46" ht="20.100000000000001" customHeight="1" x14ac:dyDescent="0.3">
      <c r="B89" s="18"/>
      <c r="C89" s="62" t="s">
        <v>344</v>
      </c>
      <c r="D89" s="298">
        <v>0.33300000000000002</v>
      </c>
      <c r="E89" s="689">
        <f>1*0</f>
        <v>0</v>
      </c>
      <c r="F89" s="689">
        <f>1*0</f>
        <v>0</v>
      </c>
      <c r="G89" s="20">
        <f>(1.05+1.05+1.05+1.05+1.05)*3.281</f>
        <v>17.225249999999999</v>
      </c>
      <c r="H89" s="20">
        <f t="shared" si="309"/>
        <v>0.33300000000000002</v>
      </c>
      <c r="I89" s="94">
        <v>2</v>
      </c>
      <c r="J89" s="81">
        <v>3</v>
      </c>
      <c r="K89" s="103">
        <f t="shared" si="310"/>
        <v>0</v>
      </c>
      <c r="L89" s="103">
        <f t="shared" si="311"/>
        <v>0</v>
      </c>
      <c r="M89" s="81"/>
      <c r="N89" s="103">
        <f t="shared" si="312"/>
        <v>0</v>
      </c>
      <c r="O89" s="103">
        <f t="shared" si="313"/>
        <v>0</v>
      </c>
      <c r="P89" s="27"/>
      <c r="Q89" s="103">
        <f t="shared" si="314"/>
        <v>0</v>
      </c>
      <c r="R89" s="103">
        <f t="shared" si="315"/>
        <v>0</v>
      </c>
      <c r="S89" s="104">
        <f t="shared" si="320"/>
        <v>0</v>
      </c>
      <c r="T89" s="104">
        <f t="shared" si="320"/>
        <v>0</v>
      </c>
      <c r="U89" s="18"/>
      <c r="V89" s="26"/>
      <c r="W89" s="21"/>
      <c r="X89" s="21"/>
      <c r="Y89" s="21"/>
      <c r="Z89" s="21"/>
      <c r="AA89" s="21"/>
      <c r="AB89" s="21">
        <f t="shared" si="316"/>
        <v>0</v>
      </c>
      <c r="AC89" s="27"/>
      <c r="AD89" s="21"/>
      <c r="AE89" s="21">
        <f t="shared" si="317"/>
        <v>0</v>
      </c>
      <c r="AF89" s="21">
        <f t="shared" si="318"/>
        <v>0</v>
      </c>
      <c r="AG89" s="27"/>
      <c r="AH89" s="396">
        <v>1</v>
      </c>
      <c r="AI89" s="21">
        <f t="shared" si="319"/>
        <v>0.97512140250000012</v>
      </c>
      <c r="AK89" s="301">
        <f t="shared" si="296"/>
        <v>0</v>
      </c>
      <c r="AL89" s="301"/>
      <c r="AM89" s="301"/>
      <c r="AN89" s="301"/>
      <c r="AO89" s="299">
        <f>+E89*F89*G89</f>
        <v>0</v>
      </c>
      <c r="AP89" s="301"/>
      <c r="AQ89" s="301"/>
      <c r="AT89" s="694">
        <f t="shared" si="258"/>
        <v>0</v>
      </c>
    </row>
    <row r="90" spans="2:46" ht="20.100000000000001" customHeight="1" x14ac:dyDescent="0.3">
      <c r="B90" s="369"/>
      <c r="C90" s="370"/>
      <c r="D90" s="371"/>
      <c r="E90" s="369"/>
      <c r="F90" s="369"/>
      <c r="G90" s="371"/>
      <c r="H90" s="371"/>
      <c r="I90" s="374"/>
      <c r="J90" s="397"/>
      <c r="K90" s="398"/>
      <c r="L90" s="398"/>
      <c r="M90" s="397"/>
      <c r="N90" s="398"/>
      <c r="O90" s="398"/>
      <c r="P90" s="400"/>
      <c r="Q90" s="398"/>
      <c r="R90" s="398"/>
      <c r="S90" s="399"/>
      <c r="T90" s="399"/>
      <c r="U90" s="369"/>
      <c r="V90" s="373"/>
      <c r="W90" s="374"/>
      <c r="X90" s="374"/>
      <c r="Y90" s="374"/>
      <c r="Z90" s="374"/>
      <c r="AA90" s="374"/>
      <c r="AB90" s="374"/>
      <c r="AC90" s="400"/>
      <c r="AD90" s="374"/>
      <c r="AE90" s="374"/>
      <c r="AF90" s="374"/>
      <c r="AG90" s="400"/>
      <c r="AH90" s="401"/>
      <c r="AI90" s="374"/>
      <c r="AK90" s="378"/>
      <c r="AL90" s="378"/>
      <c r="AM90" s="378"/>
      <c r="AN90" s="378"/>
      <c r="AO90" s="374"/>
      <c r="AP90" s="378"/>
      <c r="AQ90" s="378"/>
      <c r="AT90" s="694">
        <f t="shared" si="258"/>
        <v>0</v>
      </c>
    </row>
    <row r="91" spans="2:46" ht="20.100000000000001" customHeight="1" x14ac:dyDescent="0.3">
      <c r="B91" s="92"/>
      <c r="C91" s="97" t="s">
        <v>348</v>
      </c>
      <c r="D91" s="92"/>
      <c r="E91" s="92"/>
      <c r="F91" s="92"/>
      <c r="G91" s="92"/>
      <c r="H91" s="92"/>
      <c r="I91" s="94"/>
      <c r="J91" s="92"/>
      <c r="K91" s="92"/>
      <c r="L91" s="92"/>
      <c r="M91" s="92"/>
      <c r="N91" s="92"/>
      <c r="O91" s="92"/>
      <c r="P91" s="95"/>
      <c r="Q91" s="92"/>
      <c r="R91" s="92"/>
      <c r="S91" s="92"/>
      <c r="T91" s="92"/>
      <c r="U91" s="92"/>
      <c r="V91" s="95"/>
      <c r="W91" s="92"/>
      <c r="X91" s="92"/>
      <c r="Y91" s="92"/>
      <c r="Z91" s="92"/>
      <c r="AA91" s="92"/>
      <c r="AB91" s="92"/>
      <c r="AC91" s="95"/>
      <c r="AD91" s="92"/>
      <c r="AE91" s="92"/>
      <c r="AF91" s="92"/>
      <c r="AG91" s="95"/>
      <c r="AH91" s="304"/>
      <c r="AI91" s="301"/>
      <c r="AK91" s="301"/>
      <c r="AL91" s="301"/>
      <c r="AM91" s="301"/>
      <c r="AN91" s="301"/>
      <c r="AO91" s="299"/>
      <c r="AP91" s="301"/>
      <c r="AQ91" s="301"/>
      <c r="AT91" s="694">
        <f t="shared" si="258"/>
        <v>0</v>
      </c>
    </row>
    <row r="92" spans="2:46" ht="20.100000000000001" customHeight="1" x14ac:dyDescent="0.3">
      <c r="B92" s="92"/>
      <c r="C92" s="62" t="s">
        <v>33</v>
      </c>
      <c r="D92" s="98">
        <v>0.33300000000000002</v>
      </c>
      <c r="E92" s="688">
        <f>1*0</f>
        <v>0</v>
      </c>
      <c r="F92" s="688">
        <f>1*0</f>
        <v>0</v>
      </c>
      <c r="G92" s="98">
        <f>(7.77)*3.281</f>
        <v>25.493369999999999</v>
      </c>
      <c r="H92" s="98">
        <f>+D92</f>
        <v>0.33300000000000002</v>
      </c>
      <c r="I92" s="94">
        <v>2</v>
      </c>
      <c r="J92" s="99">
        <v>3</v>
      </c>
      <c r="K92" s="100">
        <f>+IF(D92=0.667,E92*F92*G92*H92*J92,0)</f>
        <v>0</v>
      </c>
      <c r="L92" s="100">
        <f>+IF(D92=0.333,E92*F92*G92*J92,0)</f>
        <v>0</v>
      </c>
      <c r="M92" s="99">
        <v>4</v>
      </c>
      <c r="N92" s="100">
        <f>+IF(D92=0.667,E92*F92*G92*H92*M92,0)</f>
        <v>0</v>
      </c>
      <c r="O92" s="100">
        <f>+IF(D92=0.333,E92*F92*G92*M92,0)</f>
        <v>0</v>
      </c>
      <c r="P92" s="27">
        <f>11.833-I92-M92-J92</f>
        <v>2.8330000000000002</v>
      </c>
      <c r="Q92" s="100">
        <f>+IF(D92=0.667,E92*F92*G92*H92*P92,0)</f>
        <v>0</v>
      </c>
      <c r="R92" s="100">
        <f>+IF(D92=0.333,E92*F92*G92*P92,0)</f>
        <v>0</v>
      </c>
      <c r="S92" s="101">
        <f t="shared" ref="S92:T107" si="321">+Q92+N92+K92</f>
        <v>0</v>
      </c>
      <c r="T92" s="101">
        <f t="shared" si="321"/>
        <v>0</v>
      </c>
      <c r="U92" s="92"/>
      <c r="V92" s="91"/>
      <c r="W92" s="102"/>
      <c r="X92" s="98"/>
      <c r="Y92" s="102"/>
      <c r="Z92" s="98"/>
      <c r="AA92" s="98"/>
      <c r="AB92" s="98"/>
      <c r="AC92" s="91"/>
      <c r="AD92" s="98"/>
      <c r="AE92" s="98"/>
      <c r="AF92" s="98"/>
      <c r="AG92" s="91"/>
      <c r="AH92" s="304">
        <v>1</v>
      </c>
      <c r="AI92" s="299">
        <f>+AH92*G92*D92*0.17</f>
        <v>1.4431796757000002</v>
      </c>
      <c r="AK92" s="301">
        <f t="shared" ref="AK92:AK95" si="322">+IF(D92=0.667,E92*F92*G92,0)</f>
        <v>0</v>
      </c>
      <c r="AL92" s="301">
        <f t="shared" ref="AL92:AL95" si="323">+IF(D92=0.333,E92*F92*G92,0)</f>
        <v>0</v>
      </c>
      <c r="AM92" s="301"/>
      <c r="AN92" s="301"/>
      <c r="AO92" s="299"/>
      <c r="AP92" s="301"/>
      <c r="AQ92" s="301"/>
      <c r="AT92" s="694">
        <f t="shared" si="258"/>
        <v>0</v>
      </c>
    </row>
    <row r="93" spans="2:46" ht="20.100000000000001" customHeight="1" x14ac:dyDescent="0.3">
      <c r="B93" s="18"/>
      <c r="C93" s="62" t="s">
        <v>34</v>
      </c>
      <c r="D93" s="98">
        <v>0.33300000000000002</v>
      </c>
      <c r="E93" s="689">
        <f>-1*0</f>
        <v>0</v>
      </c>
      <c r="F93" s="689">
        <f>2*0</f>
        <v>0</v>
      </c>
      <c r="G93" s="20">
        <v>3.25</v>
      </c>
      <c r="H93" s="20">
        <f t="shared" ref="H93" si="324">+D93</f>
        <v>0.33300000000000002</v>
      </c>
      <c r="I93" s="21"/>
      <c r="J93" s="81">
        <v>3</v>
      </c>
      <c r="K93" s="103">
        <f t="shared" ref="K93" si="325">+IF(D93=0.667,E93*F93*G93*H93*J93,0)</f>
        <v>0</v>
      </c>
      <c r="L93" s="103">
        <f t="shared" ref="L93" si="326">+IF(D93=0.333,E93*F93*G93*J93,0)</f>
        <v>0</v>
      </c>
      <c r="M93" s="81">
        <v>4</v>
      </c>
      <c r="N93" s="103">
        <f t="shared" ref="N93" si="327">+IF(D93=0.667,E93*F93*G93*H93*M93,0)</f>
        <v>0</v>
      </c>
      <c r="O93" s="103">
        <f t="shared" ref="O93" si="328">+IF(D93=0.333,E93*F93*G93*M93,0)</f>
        <v>0</v>
      </c>
      <c r="P93" s="27"/>
      <c r="Q93" s="103">
        <f t="shared" ref="Q93" si="329">+IF(D93=0.667,E93*F93*G93*H93*P93,0)</f>
        <v>0</v>
      </c>
      <c r="R93" s="103">
        <f t="shared" ref="R93" si="330">+IF(D93=0.333,E93*F93*G93*P93,0)</f>
        <v>0</v>
      </c>
      <c r="S93" s="104">
        <f t="shared" si="321"/>
        <v>0</v>
      </c>
      <c r="T93" s="104">
        <f t="shared" si="321"/>
        <v>0</v>
      </c>
      <c r="U93" s="18"/>
      <c r="V93" s="26"/>
      <c r="W93" s="21">
        <f>+G93+D93</f>
        <v>3.5830000000000002</v>
      </c>
      <c r="X93" s="21">
        <v>0.5</v>
      </c>
      <c r="Y93" s="21">
        <f>+IF(D93=0.667,-E93*F93*H93*W93*X93,0)</f>
        <v>0</v>
      </c>
      <c r="Z93" s="21">
        <f>+IF(D93=0.333,-E93*F93*H93*W93*X93,0)</f>
        <v>0</v>
      </c>
      <c r="AA93" s="21">
        <f>+F93*G93*H93</f>
        <v>0</v>
      </c>
      <c r="AB93" s="21">
        <f t="shared" ref="AB93" si="331">2*F93*W93*X93</f>
        <v>0</v>
      </c>
      <c r="AC93" s="27"/>
      <c r="AD93" s="21"/>
      <c r="AE93" s="21">
        <f t="shared" ref="AE93" si="332">+IF(D93=0.667,AD93*W93*H93*F93,0)</f>
        <v>0</v>
      </c>
      <c r="AF93" s="21">
        <f t="shared" ref="AF93" si="333">+IF(D93=0.333,AD93*W93*H93*F93,0)</f>
        <v>0</v>
      </c>
      <c r="AG93" s="27"/>
      <c r="AH93" s="396"/>
      <c r="AI93" s="21">
        <f t="shared" ref="AI93" si="334">+AH93*G93*D93*0.17</f>
        <v>0</v>
      </c>
      <c r="AK93" s="301">
        <f t="shared" si="322"/>
        <v>0</v>
      </c>
      <c r="AL93" s="301">
        <f t="shared" si="323"/>
        <v>0</v>
      </c>
      <c r="AM93" s="301"/>
      <c r="AN93" s="301">
        <f>+IF(D93=0.333,1.33,0)*0</f>
        <v>0</v>
      </c>
      <c r="AO93" s="299"/>
      <c r="AP93" s="301"/>
      <c r="AQ93" s="301"/>
      <c r="AT93" s="694">
        <f t="shared" si="258"/>
        <v>0</v>
      </c>
    </row>
    <row r="94" spans="2:46" ht="20.100000000000001" customHeight="1" x14ac:dyDescent="0.3">
      <c r="B94" s="92"/>
      <c r="C94" s="62" t="s">
        <v>31</v>
      </c>
      <c r="D94" s="98">
        <v>0.66700000000000004</v>
      </c>
      <c r="E94" s="688">
        <f>1*0</f>
        <v>0</v>
      </c>
      <c r="F94" s="688">
        <f>1*0</f>
        <v>0</v>
      </c>
      <c r="G94" s="98">
        <f>(3.467+4.27+2.442)*3.281</f>
        <v>33.397299000000004</v>
      </c>
      <c r="H94" s="98">
        <f>+D94</f>
        <v>0.66700000000000004</v>
      </c>
      <c r="I94" s="94">
        <v>2</v>
      </c>
      <c r="J94" s="99">
        <v>3</v>
      </c>
      <c r="K94" s="100">
        <f>+IF(D94=0.667,E94*F94*G94*H94*J94,0)</f>
        <v>0</v>
      </c>
      <c r="L94" s="100">
        <f>+IF(D94=0.333,E94*F94*G94*J94,0)</f>
        <v>0</v>
      </c>
      <c r="M94" s="99">
        <v>4</v>
      </c>
      <c r="N94" s="100">
        <f>+IF(D94=0.667,E94*F94*G94*H94*M94,0)</f>
        <v>0</v>
      </c>
      <c r="O94" s="100">
        <f>+IF(D94=0.333,E94*F94*G94*M94,0)</f>
        <v>0</v>
      </c>
      <c r="P94" s="27">
        <f t="shared" ref="P94:P95" si="335">11.833-I94-M94-J94</f>
        <v>2.8330000000000002</v>
      </c>
      <c r="Q94" s="100">
        <f>+IF(D94=0.667,E94*F94*G94*H94*P94,0)</f>
        <v>0</v>
      </c>
      <c r="R94" s="100">
        <f>+IF(D94=0.333,E94*F94*G94*P94,0)</f>
        <v>0</v>
      </c>
      <c r="S94" s="101">
        <f t="shared" si="321"/>
        <v>0</v>
      </c>
      <c r="T94" s="101">
        <f t="shared" si="321"/>
        <v>0</v>
      </c>
      <c r="U94" s="92"/>
      <c r="V94" s="91"/>
      <c r="W94" s="102"/>
      <c r="X94" s="98"/>
      <c r="Y94" s="102"/>
      <c r="Z94" s="98"/>
      <c r="AA94" s="98"/>
      <c r="AB94" s="98"/>
      <c r="AC94" s="91"/>
      <c r="AD94" s="98"/>
      <c r="AE94" s="98"/>
      <c r="AF94" s="98"/>
      <c r="AG94" s="91"/>
      <c r="AH94" s="304">
        <v>1</v>
      </c>
      <c r="AI94" s="299">
        <f>+AH94*G94*D94*0.17</f>
        <v>3.7869197336100013</v>
      </c>
      <c r="AK94" s="301">
        <f t="shared" si="322"/>
        <v>0</v>
      </c>
      <c r="AL94" s="301">
        <f t="shared" si="323"/>
        <v>0</v>
      </c>
      <c r="AM94" s="301"/>
      <c r="AN94" s="301"/>
      <c r="AO94" s="299"/>
      <c r="AP94" s="301"/>
      <c r="AQ94" s="301"/>
      <c r="AT94" s="694">
        <f t="shared" si="258"/>
        <v>0</v>
      </c>
    </row>
    <row r="95" spans="2:46" ht="20.100000000000001" customHeight="1" x14ac:dyDescent="0.3">
      <c r="B95" s="92"/>
      <c r="C95" s="62" t="s">
        <v>32</v>
      </c>
      <c r="D95" s="98">
        <v>0.66700000000000004</v>
      </c>
      <c r="E95" s="688">
        <f>1*0</f>
        <v>0</v>
      </c>
      <c r="F95" s="688">
        <f>1*0</f>
        <v>0</v>
      </c>
      <c r="G95" s="98">
        <f>(2.35+3.155)*3.281</f>
        <v>18.061904999999999</v>
      </c>
      <c r="H95" s="98">
        <f>+D95</f>
        <v>0.66700000000000004</v>
      </c>
      <c r="I95" s="94">
        <v>2</v>
      </c>
      <c r="J95" s="99">
        <v>3</v>
      </c>
      <c r="K95" s="100">
        <f>+IF(D95=0.667,E95*F95*G95*H95*J95,0)</f>
        <v>0</v>
      </c>
      <c r="L95" s="100">
        <f>+IF(D95=0.333,E95*F95*G95*J95,0)</f>
        <v>0</v>
      </c>
      <c r="M95" s="99">
        <v>4</v>
      </c>
      <c r="N95" s="100">
        <f>+IF(D95=0.667,E95*F95*G95*H95*M95,0)</f>
        <v>0</v>
      </c>
      <c r="O95" s="100">
        <f>+IF(D95=0.333,E95*F95*G95*M95,0)</f>
        <v>0</v>
      </c>
      <c r="P95" s="27">
        <f t="shared" si="335"/>
        <v>2.8330000000000002</v>
      </c>
      <c r="Q95" s="100">
        <f>+IF(D95=0.667,E95*F95*G95*H95*P95,0)</f>
        <v>0</v>
      </c>
      <c r="R95" s="100">
        <f>+IF(D95=0.333,E95*F95*G95*P95,0)</f>
        <v>0</v>
      </c>
      <c r="S95" s="101">
        <f t="shared" si="321"/>
        <v>0</v>
      </c>
      <c r="T95" s="101">
        <f t="shared" si="321"/>
        <v>0</v>
      </c>
      <c r="U95" s="92"/>
      <c r="V95" s="91"/>
      <c r="W95" s="102"/>
      <c r="X95" s="98"/>
      <c r="Y95" s="102"/>
      <c r="Z95" s="98"/>
      <c r="AA95" s="98"/>
      <c r="AB95" s="98"/>
      <c r="AC95" s="91"/>
      <c r="AD95" s="98"/>
      <c r="AE95" s="98"/>
      <c r="AF95" s="98"/>
      <c r="AG95" s="91"/>
      <c r="AH95" s="304">
        <v>1</v>
      </c>
      <c r="AI95" s="299">
        <f>+AH95*G95*D95*0.17</f>
        <v>2.0480394079500002</v>
      </c>
      <c r="AK95" s="301">
        <f t="shared" si="322"/>
        <v>0</v>
      </c>
      <c r="AL95" s="301">
        <f t="shared" si="323"/>
        <v>0</v>
      </c>
      <c r="AM95" s="301"/>
      <c r="AN95" s="301"/>
      <c r="AO95" s="299"/>
      <c r="AP95" s="301"/>
      <c r="AQ95" s="301"/>
      <c r="AT95" s="694">
        <f t="shared" si="258"/>
        <v>0</v>
      </c>
    </row>
    <row r="96" spans="2:46" ht="20.100000000000001" customHeight="1" x14ac:dyDescent="0.3">
      <c r="B96" s="18"/>
      <c r="C96" s="62" t="s">
        <v>48</v>
      </c>
      <c r="D96" s="298">
        <v>0.66700000000000004</v>
      </c>
      <c r="E96" s="689">
        <f>-1*0</f>
        <v>0</v>
      </c>
      <c r="F96" s="689">
        <f>2*0</f>
        <v>0</v>
      </c>
      <c r="G96" s="20">
        <v>5</v>
      </c>
      <c r="H96" s="20">
        <f t="shared" ref="H96" si="336">+D96</f>
        <v>0.66700000000000004</v>
      </c>
      <c r="I96" s="21"/>
      <c r="J96" s="81"/>
      <c r="K96" s="103">
        <f t="shared" ref="K96" si="337">+IF(D96=0.667,E96*F96*G96*H96*J96,0)</f>
        <v>0</v>
      </c>
      <c r="L96" s="103">
        <f t="shared" ref="L96" si="338">+IF(D96=0.333,E96*F96*G96*J96,0)</f>
        <v>0</v>
      </c>
      <c r="M96" s="81">
        <v>2.25</v>
      </c>
      <c r="N96" s="103">
        <f t="shared" ref="N96" si="339">+IF(D96=0.667,E96*F96*G96*H96*M96,0)</f>
        <v>0</v>
      </c>
      <c r="O96" s="103">
        <f t="shared" ref="O96" si="340">+IF(D96=0.333,E96*F96*G96*M96,0)</f>
        <v>0</v>
      </c>
      <c r="P96" s="27"/>
      <c r="Q96" s="103">
        <f t="shared" ref="Q96" si="341">+IF(D96=0.667,E96*F96*G96*H96*P96,0)</f>
        <v>0</v>
      </c>
      <c r="R96" s="103">
        <f t="shared" ref="R96" si="342">+IF(D96=0.333,E96*F96*G96*P96,0)</f>
        <v>0</v>
      </c>
      <c r="S96" s="104">
        <f t="shared" si="321"/>
        <v>0</v>
      </c>
      <c r="T96" s="104">
        <f t="shared" si="321"/>
        <v>0</v>
      </c>
      <c r="U96" s="18"/>
      <c r="V96" s="26"/>
      <c r="W96" s="21">
        <f>+G96+D96</f>
        <v>5.6669999999999998</v>
      </c>
      <c r="X96" s="21">
        <v>0.5</v>
      </c>
      <c r="Y96" s="21">
        <f>+IF(D96=0.667,-E96*F96*H96*W96*X96,0)</f>
        <v>0</v>
      </c>
      <c r="Z96" s="21">
        <f>+IF(D96=0.333,-E96*F96*H96*W96*X96,0)</f>
        <v>0</v>
      </c>
      <c r="AA96" s="21">
        <f>+F96*G96*H96</f>
        <v>0</v>
      </c>
      <c r="AB96" s="21">
        <f t="shared" ref="AB96" si="343">2*F96*W96*X96</f>
        <v>0</v>
      </c>
      <c r="AC96" s="27"/>
      <c r="AD96" s="21">
        <v>0.16700000000000001</v>
      </c>
      <c r="AE96" s="21">
        <f t="shared" ref="AE96" si="344">+IF(D96=0.667,AD96*W96*H96*F96,0)</f>
        <v>0</v>
      </c>
      <c r="AF96" s="21">
        <f t="shared" ref="AF96" si="345">+IF(D96=0.333,AD96*W96*H96*F96,0)</f>
        <v>0</v>
      </c>
      <c r="AG96" s="27"/>
      <c r="AH96" s="396"/>
      <c r="AI96" s="21">
        <f t="shared" ref="AI96" si="346">+AH96*G96*D96*0.17</f>
        <v>0</v>
      </c>
      <c r="AK96" s="301"/>
      <c r="AL96" s="301"/>
      <c r="AM96" s="301"/>
      <c r="AN96" s="301"/>
      <c r="AO96" s="299"/>
      <c r="AP96" s="301"/>
      <c r="AQ96" s="301"/>
      <c r="AT96" s="694">
        <f t="shared" si="258"/>
        <v>0</v>
      </c>
    </row>
    <row r="97" spans="2:46" ht="20.100000000000001" customHeight="1" x14ac:dyDescent="0.3">
      <c r="B97" s="92"/>
      <c r="C97" s="62" t="s">
        <v>38</v>
      </c>
      <c r="D97" s="98">
        <v>0.66700000000000004</v>
      </c>
      <c r="E97" s="688">
        <f t="shared" ref="E97:F99" si="347">1*0</f>
        <v>0</v>
      </c>
      <c r="F97" s="688">
        <f t="shared" si="347"/>
        <v>0</v>
      </c>
      <c r="G97" s="98">
        <f>(3.467+7.005)*3.281</f>
        <v>34.358632</v>
      </c>
      <c r="H97" s="98">
        <f>+D97</f>
        <v>0.66700000000000004</v>
      </c>
      <c r="I97" s="94">
        <v>2</v>
      </c>
      <c r="J97" s="99">
        <v>3</v>
      </c>
      <c r="K97" s="100">
        <f>+IF(D97=0.667,E97*F97*G97*H97*J97,0)</f>
        <v>0</v>
      </c>
      <c r="L97" s="100">
        <f>+IF(D97=0.333,E97*F97*G97*J97,0)</f>
        <v>0</v>
      </c>
      <c r="M97" s="99">
        <v>4</v>
      </c>
      <c r="N97" s="100">
        <f>+IF(D97=0.667,E97*F97*G97*H97*M97,0)</f>
        <v>0</v>
      </c>
      <c r="O97" s="100">
        <f>+IF(D97=0.333,E97*F97*G97*M97,0)</f>
        <v>0</v>
      </c>
      <c r="P97" s="27">
        <f t="shared" ref="P97:P99" si="348">11.833-I97-M97-J97</f>
        <v>2.8330000000000002</v>
      </c>
      <c r="Q97" s="100">
        <f>+IF(D97=0.667,E97*F97*G97*H97*P97,0)</f>
        <v>0</v>
      </c>
      <c r="R97" s="100">
        <f>+IF(D97=0.333,E97*F97*G97*P97,0)</f>
        <v>0</v>
      </c>
      <c r="S97" s="101">
        <f t="shared" si="321"/>
        <v>0</v>
      </c>
      <c r="T97" s="101">
        <f t="shared" si="321"/>
        <v>0</v>
      </c>
      <c r="U97" s="92"/>
      <c r="V97" s="91"/>
      <c r="W97" s="102"/>
      <c r="X97" s="98"/>
      <c r="Y97" s="102"/>
      <c r="Z97" s="98"/>
      <c r="AA97" s="98"/>
      <c r="AB97" s="98"/>
      <c r="AC97" s="91"/>
      <c r="AD97" s="98"/>
      <c r="AE97" s="98"/>
      <c r="AF97" s="98"/>
      <c r="AG97" s="91"/>
      <c r="AH97" s="304">
        <v>1</v>
      </c>
      <c r="AI97" s="299">
        <f>+AH97*G97*D97*0.17</f>
        <v>3.8959252824800004</v>
      </c>
      <c r="AK97" s="301">
        <f t="shared" ref="AK97:AK99" si="349">+IF(D97=0.667,E97*F97*G97,0)</f>
        <v>0</v>
      </c>
      <c r="AL97" s="301">
        <f t="shared" ref="AL97:AL99" si="350">+IF(D97=0.333,E97*F97*G97,0)</f>
        <v>0</v>
      </c>
      <c r="AM97" s="301"/>
      <c r="AN97" s="301"/>
      <c r="AO97" s="299"/>
      <c r="AP97" s="301"/>
      <c r="AQ97" s="301"/>
      <c r="AT97" s="694">
        <f t="shared" si="258"/>
        <v>0</v>
      </c>
    </row>
    <row r="98" spans="2:46" ht="20.100000000000001" customHeight="1" x14ac:dyDescent="0.3">
      <c r="B98" s="92"/>
      <c r="C98" s="62" t="s">
        <v>339</v>
      </c>
      <c r="D98" s="98">
        <v>0.66700000000000004</v>
      </c>
      <c r="E98" s="688">
        <f t="shared" si="347"/>
        <v>0</v>
      </c>
      <c r="F98" s="688">
        <f t="shared" si="347"/>
        <v>0</v>
      </c>
      <c r="G98" s="98">
        <f>(9.66)*3.281</f>
        <v>31.694460000000003</v>
      </c>
      <c r="H98" s="98">
        <f>+D98</f>
        <v>0.66700000000000004</v>
      </c>
      <c r="I98" s="94">
        <v>2</v>
      </c>
      <c r="J98" s="99">
        <v>3</v>
      </c>
      <c r="K98" s="100">
        <f>+IF(D98=0.667,E98*F98*G98*H98*J98,0)</f>
        <v>0</v>
      </c>
      <c r="L98" s="100">
        <f>+IF(D98=0.333,E98*F98*G98*J98,0)</f>
        <v>0</v>
      </c>
      <c r="M98" s="99">
        <v>4</v>
      </c>
      <c r="N98" s="100">
        <f>+IF(D98=0.667,E98*F98*G98*H98*M98,0)</f>
        <v>0</v>
      </c>
      <c r="O98" s="100">
        <f>+IF(D98=0.333,E98*F98*G98*M98,0)</f>
        <v>0</v>
      </c>
      <c r="P98" s="27">
        <f t="shared" si="348"/>
        <v>2.8330000000000002</v>
      </c>
      <c r="Q98" s="100">
        <f>+IF(D98=0.667,E98*F98*G98*H98*P98,0)</f>
        <v>0</v>
      </c>
      <c r="R98" s="100">
        <f>+IF(D98=0.333,E98*F98*G98*P98,0)</f>
        <v>0</v>
      </c>
      <c r="S98" s="101">
        <f t="shared" si="321"/>
        <v>0</v>
      </c>
      <c r="T98" s="101">
        <f t="shared" si="321"/>
        <v>0</v>
      </c>
      <c r="U98" s="92"/>
      <c r="V98" s="91"/>
      <c r="W98" s="102"/>
      <c r="X98" s="98"/>
      <c r="Y98" s="102"/>
      <c r="Z98" s="98"/>
      <c r="AA98" s="98"/>
      <c r="AB98" s="98"/>
      <c r="AC98" s="91"/>
      <c r="AD98" s="98"/>
      <c r="AE98" s="98"/>
      <c r="AF98" s="98"/>
      <c r="AG98" s="91"/>
      <c r="AH98" s="304">
        <v>1</v>
      </c>
      <c r="AI98" s="299">
        <f>+AH98*G98*D98*0.17</f>
        <v>3.5938348194000009</v>
      </c>
      <c r="AK98" s="301">
        <f t="shared" si="349"/>
        <v>0</v>
      </c>
      <c r="AL98" s="301">
        <f t="shared" si="350"/>
        <v>0</v>
      </c>
      <c r="AM98" s="301"/>
      <c r="AN98" s="301"/>
      <c r="AO98" s="299"/>
      <c r="AP98" s="301"/>
      <c r="AQ98" s="301"/>
      <c r="AT98" s="694">
        <f t="shared" si="258"/>
        <v>0</v>
      </c>
    </row>
    <row r="99" spans="2:46" ht="20.100000000000001" customHeight="1" x14ac:dyDescent="0.3">
      <c r="B99" s="18"/>
      <c r="C99" s="62" t="s">
        <v>43</v>
      </c>
      <c r="D99" s="298">
        <v>0.66700000000000004</v>
      </c>
      <c r="E99" s="688">
        <f t="shared" si="347"/>
        <v>0</v>
      </c>
      <c r="F99" s="688">
        <f t="shared" si="347"/>
        <v>0</v>
      </c>
      <c r="G99" s="20">
        <f>(2.08+2.08+1.365)*3.281</f>
        <v>18.127525000000002</v>
      </c>
      <c r="H99" s="20">
        <f>+D99</f>
        <v>0.66700000000000004</v>
      </c>
      <c r="I99" s="21">
        <v>2</v>
      </c>
      <c r="J99" s="81">
        <v>3</v>
      </c>
      <c r="K99" s="103">
        <f>+IF(D99=0.667,E99*F99*G99*H99*J99,0)</f>
        <v>0</v>
      </c>
      <c r="L99" s="103">
        <f>+IF(D99=0.333,E99*F99*G99*J99,0)</f>
        <v>0</v>
      </c>
      <c r="M99" s="81">
        <v>4</v>
      </c>
      <c r="N99" s="103">
        <f>+IF(D99=0.667,E99*F99*G99*H99*M99,0)</f>
        <v>0</v>
      </c>
      <c r="O99" s="103">
        <f>+IF(D99=0.333,E99*F99*G99*M99,0)</f>
        <v>0</v>
      </c>
      <c r="P99" s="27">
        <f t="shared" si="348"/>
        <v>2.8330000000000002</v>
      </c>
      <c r="Q99" s="103">
        <f>+IF(D99=0.667,E99*F99*G99*H99*P99,0)</f>
        <v>0</v>
      </c>
      <c r="R99" s="103">
        <f>+IF(D99=0.333,E99*F99*G99*P99,0)</f>
        <v>0</v>
      </c>
      <c r="S99" s="104">
        <f t="shared" si="321"/>
        <v>0</v>
      </c>
      <c r="T99" s="104">
        <f t="shared" si="321"/>
        <v>0</v>
      </c>
      <c r="U99" s="18"/>
      <c r="V99" s="26"/>
      <c r="W99" s="21"/>
      <c r="X99" s="21"/>
      <c r="Y99" s="21"/>
      <c r="Z99" s="21"/>
      <c r="AA99" s="21"/>
      <c r="AB99" s="21"/>
      <c r="AC99" s="27"/>
      <c r="AD99" s="21"/>
      <c r="AE99" s="21"/>
      <c r="AF99" s="21"/>
      <c r="AG99" s="27"/>
      <c r="AH99" s="396">
        <v>1</v>
      </c>
      <c r="AI99" s="21">
        <f>+AH99*G99*D99*0.17</f>
        <v>2.0554800597500003</v>
      </c>
      <c r="AK99" s="301">
        <f t="shared" si="349"/>
        <v>0</v>
      </c>
      <c r="AL99" s="301">
        <f t="shared" si="350"/>
        <v>0</v>
      </c>
      <c r="AM99" s="301"/>
      <c r="AN99" s="301"/>
      <c r="AO99" s="299"/>
      <c r="AP99" s="301"/>
      <c r="AQ99" s="301"/>
      <c r="AT99" s="694">
        <f t="shared" si="258"/>
        <v>0</v>
      </c>
    </row>
    <row r="100" spans="2:46" ht="20.100000000000001" customHeight="1" x14ac:dyDescent="0.3">
      <c r="B100" s="18"/>
      <c r="C100" s="62" t="s">
        <v>246</v>
      </c>
      <c r="D100" s="298">
        <v>0.66700000000000004</v>
      </c>
      <c r="E100" s="689">
        <f>-1*0</f>
        <v>0</v>
      </c>
      <c r="F100" s="689">
        <f>2*0</f>
        <v>0</v>
      </c>
      <c r="G100" s="20">
        <v>2</v>
      </c>
      <c r="H100" s="20">
        <f t="shared" ref="H100" si="351">+D100</f>
        <v>0.66700000000000004</v>
      </c>
      <c r="I100" s="21"/>
      <c r="J100" s="81"/>
      <c r="K100" s="103">
        <f t="shared" ref="K100" si="352">+IF(D100=0.667,E100*F100*G100*H100*J100,0)</f>
        <v>0</v>
      </c>
      <c r="L100" s="103">
        <f t="shared" ref="L100" si="353">+IF(D100=0.333,E100*F100*G100*J100,0)</f>
        <v>0</v>
      </c>
      <c r="M100" s="81">
        <v>0</v>
      </c>
      <c r="N100" s="103">
        <f t="shared" ref="N100" si="354">+IF(D100=0.667,E100*F100*G100*H100*M100,0)</f>
        <v>0</v>
      </c>
      <c r="O100" s="103">
        <f t="shared" ref="O100" si="355">+IF(D100=0.333,E100*F100*G100*M100,0)</f>
        <v>0</v>
      </c>
      <c r="P100" s="27">
        <v>2</v>
      </c>
      <c r="Q100" s="103">
        <f t="shared" ref="Q100" si="356">+IF(D100=0.667,E100*F100*G100*H100*P100,0)</f>
        <v>0</v>
      </c>
      <c r="R100" s="103">
        <f t="shared" ref="R100" si="357">+IF(D100=0.333,E100*F100*G100*P100,0)</f>
        <v>0</v>
      </c>
      <c r="S100" s="104">
        <f t="shared" si="321"/>
        <v>0</v>
      </c>
      <c r="T100" s="104">
        <f t="shared" si="321"/>
        <v>0</v>
      </c>
      <c r="U100" s="18"/>
      <c r="V100" s="26"/>
      <c r="W100" s="21">
        <f>+G100+D100</f>
        <v>2.6669999999999998</v>
      </c>
      <c r="X100" s="21">
        <v>0.5</v>
      </c>
      <c r="Y100" s="21">
        <f>+IF(D100=0.667,-E100*F100*H100*W100*X100,0)</f>
        <v>0</v>
      </c>
      <c r="Z100" s="21">
        <f>+IF(D100=0.333,-E100*F100*H100*W100*X100,0)</f>
        <v>0</v>
      </c>
      <c r="AA100" s="21">
        <f>+F100*G100*H100</f>
        <v>0</v>
      </c>
      <c r="AB100" s="21">
        <f t="shared" ref="AB100" si="358">2*F100*W100*X100</f>
        <v>0</v>
      </c>
      <c r="AC100" s="27"/>
      <c r="AD100" s="21">
        <v>0.16700000000000001</v>
      </c>
      <c r="AE100" s="21">
        <f t="shared" ref="AE100" si="359">+IF(D100=0.667,AD100*W100*H100*F100,0)</f>
        <v>0</v>
      </c>
      <c r="AF100" s="21">
        <f t="shared" ref="AF100" si="360">+IF(D100=0.333,AD100*W100*H100*F100,0)</f>
        <v>0</v>
      </c>
      <c r="AG100" s="27"/>
      <c r="AH100" s="396"/>
      <c r="AI100" s="21">
        <f t="shared" ref="AI100" si="361">+AH100*G100*D100*0.17</f>
        <v>0</v>
      </c>
      <c r="AK100" s="301"/>
      <c r="AL100" s="301"/>
      <c r="AM100" s="301"/>
      <c r="AN100" s="301"/>
      <c r="AO100" s="299"/>
      <c r="AP100" s="301"/>
      <c r="AQ100" s="301"/>
      <c r="AT100" s="694">
        <f t="shared" si="258"/>
        <v>0</v>
      </c>
    </row>
    <row r="101" spans="2:46" ht="20.100000000000001" customHeight="1" x14ac:dyDescent="0.3">
      <c r="B101" s="92"/>
      <c r="C101" s="62" t="s">
        <v>340</v>
      </c>
      <c r="D101" s="98">
        <v>0.33300000000000002</v>
      </c>
      <c r="E101" s="688">
        <f>1*0</f>
        <v>0</v>
      </c>
      <c r="F101" s="688">
        <f>1*0</f>
        <v>0</v>
      </c>
      <c r="G101" s="98">
        <f>(3.985)*3.281</f>
        <v>13.074785</v>
      </c>
      <c r="H101" s="98">
        <f>+D101</f>
        <v>0.33300000000000002</v>
      </c>
      <c r="I101" s="94">
        <v>2</v>
      </c>
      <c r="J101" s="99">
        <v>3</v>
      </c>
      <c r="K101" s="100">
        <f>+IF(D101=0.667,E101*F101*G101*H101*J101,0)</f>
        <v>0</v>
      </c>
      <c r="L101" s="100">
        <f>+IF(D101=0.333,E101*F101*G101*J101,0)</f>
        <v>0</v>
      </c>
      <c r="M101" s="99">
        <v>4</v>
      </c>
      <c r="N101" s="100">
        <f>+IF(D101=0.667,E101*F101*G101*H101*M101,0)</f>
        <v>0</v>
      </c>
      <c r="O101" s="100">
        <f>+IF(D101=0.333,E101*F101*G101*M101,0)</f>
        <v>0</v>
      </c>
      <c r="P101" s="27">
        <f t="shared" ref="P101:P102" si="362">11.833-I101-M101-J101</f>
        <v>2.8330000000000002</v>
      </c>
      <c r="Q101" s="100">
        <f>+IF(D101=0.667,E101*F101*G101*H101*P101,0)</f>
        <v>0</v>
      </c>
      <c r="R101" s="100">
        <f>+IF(D101=0.333,E101*F101*G101*P101,0)</f>
        <v>0</v>
      </c>
      <c r="S101" s="101">
        <f t="shared" si="321"/>
        <v>0</v>
      </c>
      <c r="T101" s="101">
        <f t="shared" si="321"/>
        <v>0</v>
      </c>
      <c r="U101" s="92"/>
      <c r="V101" s="91"/>
      <c r="W101" s="102"/>
      <c r="X101" s="98"/>
      <c r="Y101" s="102"/>
      <c r="Z101" s="98"/>
      <c r="AA101" s="98"/>
      <c r="AB101" s="98"/>
      <c r="AC101" s="91"/>
      <c r="AD101" s="98"/>
      <c r="AE101" s="98"/>
      <c r="AF101" s="98"/>
      <c r="AG101" s="91"/>
      <c r="AH101" s="304">
        <v>1</v>
      </c>
      <c r="AI101" s="299">
        <f>+AH101*G101*D101*0.17</f>
        <v>0.74016357885000017</v>
      </c>
      <c r="AK101" s="301">
        <f t="shared" ref="AK101:AK109" si="363">+IF(D101=0.667,E101*F101*G101,0)</f>
        <v>0</v>
      </c>
      <c r="AL101" s="301">
        <f t="shared" ref="AL101:AL107" si="364">+IF(D101=0.333,E101*F101*G101,0)</f>
        <v>0</v>
      </c>
      <c r="AM101" s="301"/>
      <c r="AN101" s="301"/>
      <c r="AO101" s="299"/>
      <c r="AP101" s="301"/>
      <c r="AQ101" s="301"/>
      <c r="AT101" s="694">
        <f t="shared" si="258"/>
        <v>0</v>
      </c>
    </row>
    <row r="102" spans="2:46" ht="20.100000000000001" customHeight="1" x14ac:dyDescent="0.3">
      <c r="B102" s="92"/>
      <c r="C102" s="62" t="s">
        <v>340</v>
      </c>
      <c r="D102" s="98">
        <v>0.33300000000000002</v>
      </c>
      <c r="E102" s="688">
        <f>1*0</f>
        <v>0</v>
      </c>
      <c r="F102" s="688">
        <f>1*0</f>
        <v>0</v>
      </c>
      <c r="G102" s="98">
        <f>(0.65+2.235+2.235+3.492+3.05)*3.281</f>
        <v>38.263021999999999</v>
      </c>
      <c r="H102" s="98">
        <f>+D102</f>
        <v>0.33300000000000002</v>
      </c>
      <c r="I102" s="94">
        <v>2</v>
      </c>
      <c r="J102" s="99">
        <v>3</v>
      </c>
      <c r="K102" s="100">
        <f>+IF(D102=0.667,E102*F102*G102*H102*J102,0)</f>
        <v>0</v>
      </c>
      <c r="L102" s="100">
        <f>+IF(D102=0.333,E102*F102*G102*J102,0)</f>
        <v>0</v>
      </c>
      <c r="M102" s="99">
        <v>4</v>
      </c>
      <c r="N102" s="100">
        <f>+IF(D102=0.667,E102*F102*G102*H102*M102,0)</f>
        <v>0</v>
      </c>
      <c r="O102" s="100">
        <f>+IF(D102=0.333,E102*F102*G102*M102,0)</f>
        <v>0</v>
      </c>
      <c r="P102" s="27">
        <f t="shared" si="362"/>
        <v>2.8330000000000002</v>
      </c>
      <c r="Q102" s="100">
        <f>+IF(D102=0.667,E102*F102*G102*H102*P102,0)</f>
        <v>0</v>
      </c>
      <c r="R102" s="100">
        <f>+IF(D102=0.333,E102*F102*G102*P102,0)</f>
        <v>0</v>
      </c>
      <c r="S102" s="101">
        <f t="shared" si="321"/>
        <v>0</v>
      </c>
      <c r="T102" s="101">
        <f t="shared" si="321"/>
        <v>0</v>
      </c>
      <c r="U102" s="92"/>
      <c r="V102" s="91"/>
      <c r="W102" s="102"/>
      <c r="X102" s="98"/>
      <c r="Y102" s="102"/>
      <c r="Z102" s="98"/>
      <c r="AA102" s="98"/>
      <c r="AB102" s="98"/>
      <c r="AC102" s="91"/>
      <c r="AD102" s="98"/>
      <c r="AE102" s="98"/>
      <c r="AF102" s="98"/>
      <c r="AG102" s="91"/>
      <c r="AH102" s="304">
        <v>1</v>
      </c>
      <c r="AI102" s="299">
        <f>+AH102*G102*D102*0.17</f>
        <v>2.1660696754200002</v>
      </c>
      <c r="AK102" s="301">
        <f t="shared" si="363"/>
        <v>0</v>
      </c>
      <c r="AL102" s="301">
        <f t="shared" si="364"/>
        <v>0</v>
      </c>
      <c r="AM102" s="301"/>
      <c r="AN102" s="301"/>
      <c r="AO102" s="299"/>
      <c r="AP102" s="301"/>
      <c r="AQ102" s="301"/>
      <c r="AT102" s="694">
        <f t="shared" si="258"/>
        <v>0</v>
      </c>
    </row>
    <row r="103" spans="2:46" ht="20.100000000000001" customHeight="1" x14ac:dyDescent="0.3">
      <c r="B103" s="18"/>
      <c r="C103" s="62" t="s">
        <v>337</v>
      </c>
      <c r="D103" s="98">
        <v>0.33300000000000002</v>
      </c>
      <c r="E103" s="689">
        <f>-1*0</f>
        <v>0</v>
      </c>
      <c r="F103" s="689">
        <f>2*0</f>
        <v>0</v>
      </c>
      <c r="G103" s="20">
        <v>2.5</v>
      </c>
      <c r="H103" s="20">
        <f t="shared" ref="H103:H104" si="365">+D103</f>
        <v>0.33300000000000002</v>
      </c>
      <c r="I103" s="21"/>
      <c r="J103" s="81">
        <v>3</v>
      </c>
      <c r="K103" s="103">
        <f t="shared" ref="K103:K104" si="366">+IF(D103=0.667,E103*F103*G103*H103*J103,0)</f>
        <v>0</v>
      </c>
      <c r="L103" s="103">
        <f t="shared" ref="L103:L104" si="367">+IF(D103=0.333,E103*F103*G103*J103,0)</f>
        <v>0</v>
      </c>
      <c r="M103" s="81">
        <v>3</v>
      </c>
      <c r="N103" s="103">
        <f t="shared" ref="N103:N104" si="368">+IF(D103=0.667,E103*F103*G103*H103*M103,0)</f>
        <v>0</v>
      </c>
      <c r="O103" s="103">
        <f t="shared" ref="O103:O104" si="369">+IF(D103=0.333,E103*F103*G103*M103,0)</f>
        <v>0</v>
      </c>
      <c r="P103" s="27"/>
      <c r="Q103" s="103">
        <f t="shared" ref="Q103:Q104" si="370">+IF(D103=0.667,E103*F103*G103*H103*P103,0)</f>
        <v>0</v>
      </c>
      <c r="R103" s="103">
        <f t="shared" ref="R103:R104" si="371">+IF(D103=0.333,E103*F103*G103*P103,0)</f>
        <v>0</v>
      </c>
      <c r="S103" s="104">
        <f t="shared" si="321"/>
        <v>0</v>
      </c>
      <c r="T103" s="104">
        <f t="shared" si="321"/>
        <v>0</v>
      </c>
      <c r="U103" s="18"/>
      <c r="V103" s="26"/>
      <c r="W103" s="21">
        <f>+G103+D103</f>
        <v>2.8330000000000002</v>
      </c>
      <c r="X103" s="21">
        <v>0.5</v>
      </c>
      <c r="Y103" s="21">
        <f>+IF(D103=0.667,-E103*F103*H103*W103*X103,0)</f>
        <v>0</v>
      </c>
      <c r="Z103" s="21">
        <f>+IF(D103=0.333,-E103*F103*H103*W103*X103,0)</f>
        <v>0</v>
      </c>
      <c r="AA103" s="21">
        <f>+F103*G103*H103</f>
        <v>0</v>
      </c>
      <c r="AB103" s="21">
        <f t="shared" ref="AB103:AB104" si="372">2*F103*W103*X103</f>
        <v>0</v>
      </c>
      <c r="AC103" s="27"/>
      <c r="AD103" s="21"/>
      <c r="AE103" s="21">
        <f t="shared" ref="AE103:AE104" si="373">+IF(D103=0.667,AD103*W103*H103*F103,0)</f>
        <v>0</v>
      </c>
      <c r="AF103" s="21">
        <f t="shared" ref="AF103:AF104" si="374">+IF(D103=0.333,AD103*W103*H103*F103,0)</f>
        <v>0</v>
      </c>
      <c r="AG103" s="27"/>
      <c r="AH103" s="396"/>
      <c r="AI103" s="21">
        <f t="shared" ref="AI103:AI104" si="375">+AH103*G103*D103*0.17</f>
        <v>0</v>
      </c>
      <c r="AK103" s="301">
        <f t="shared" si="363"/>
        <v>0</v>
      </c>
      <c r="AL103" s="301">
        <f t="shared" si="364"/>
        <v>0</v>
      </c>
      <c r="AM103" s="301"/>
      <c r="AN103" s="301">
        <f>+IF(D103=0.333,1.33,0)*0</f>
        <v>0</v>
      </c>
      <c r="AO103" s="299"/>
      <c r="AP103" s="301"/>
      <c r="AQ103" s="301"/>
      <c r="AT103" s="694">
        <f t="shared" si="258"/>
        <v>0</v>
      </c>
    </row>
    <row r="104" spans="2:46" ht="20.100000000000001" customHeight="1" x14ac:dyDescent="0.3">
      <c r="B104" s="18"/>
      <c r="C104" s="62" t="s">
        <v>341</v>
      </c>
      <c r="D104" s="98">
        <v>0.33300000000000002</v>
      </c>
      <c r="E104" s="689">
        <f>-1*0</f>
        <v>0</v>
      </c>
      <c r="F104" s="689">
        <f>1*0</f>
        <v>0</v>
      </c>
      <c r="G104" s="20">
        <v>3.25</v>
      </c>
      <c r="H104" s="20">
        <f t="shared" si="365"/>
        <v>0.33300000000000002</v>
      </c>
      <c r="I104" s="21"/>
      <c r="J104" s="81">
        <v>3</v>
      </c>
      <c r="K104" s="103">
        <f t="shared" si="366"/>
        <v>0</v>
      </c>
      <c r="L104" s="103">
        <f t="shared" si="367"/>
        <v>0</v>
      </c>
      <c r="M104" s="81">
        <v>3</v>
      </c>
      <c r="N104" s="103">
        <f t="shared" si="368"/>
        <v>0</v>
      </c>
      <c r="O104" s="103">
        <f t="shared" si="369"/>
        <v>0</v>
      </c>
      <c r="P104" s="27"/>
      <c r="Q104" s="103">
        <f t="shared" si="370"/>
        <v>0</v>
      </c>
      <c r="R104" s="103">
        <f t="shared" si="371"/>
        <v>0</v>
      </c>
      <c r="S104" s="104">
        <f t="shared" si="321"/>
        <v>0</v>
      </c>
      <c r="T104" s="104">
        <f t="shared" si="321"/>
        <v>0</v>
      </c>
      <c r="U104" s="18"/>
      <c r="V104" s="26"/>
      <c r="W104" s="21">
        <f>+G104+D104</f>
        <v>3.5830000000000002</v>
      </c>
      <c r="X104" s="21">
        <v>0.5</v>
      </c>
      <c r="Y104" s="21">
        <f>+IF(D104=0.667,-E104*F104*H104*W104*X104,0)</f>
        <v>0</v>
      </c>
      <c r="Z104" s="21">
        <f>+IF(D104=0.333,-E104*F104*H104*W104*X104,0)</f>
        <v>0</v>
      </c>
      <c r="AA104" s="21">
        <f>+F104*G104*H104</f>
        <v>0</v>
      </c>
      <c r="AB104" s="21">
        <f t="shared" si="372"/>
        <v>0</v>
      </c>
      <c r="AC104" s="27"/>
      <c r="AD104" s="21"/>
      <c r="AE104" s="21">
        <f t="shared" si="373"/>
        <v>0</v>
      </c>
      <c r="AF104" s="21">
        <f t="shared" si="374"/>
        <v>0</v>
      </c>
      <c r="AG104" s="27"/>
      <c r="AH104" s="396"/>
      <c r="AI104" s="21">
        <f t="shared" si="375"/>
        <v>0</v>
      </c>
      <c r="AK104" s="301">
        <f t="shared" si="363"/>
        <v>0</v>
      </c>
      <c r="AL104" s="301">
        <f t="shared" si="364"/>
        <v>0</v>
      </c>
      <c r="AM104" s="301"/>
      <c r="AN104" s="301">
        <f>+IF(D104=0.333,1.33,0)*0</f>
        <v>0</v>
      </c>
      <c r="AO104" s="299"/>
      <c r="AP104" s="301"/>
      <c r="AQ104" s="301"/>
      <c r="AT104" s="694">
        <f t="shared" si="258"/>
        <v>0</v>
      </c>
    </row>
    <row r="105" spans="2:46" ht="20.100000000000001" customHeight="1" x14ac:dyDescent="0.3">
      <c r="B105" s="92"/>
      <c r="C105" s="62" t="s">
        <v>342</v>
      </c>
      <c r="D105" s="98">
        <v>0.33300000000000002</v>
      </c>
      <c r="E105" s="688">
        <f>1*0</f>
        <v>0</v>
      </c>
      <c r="F105" s="688">
        <f>1*0</f>
        <v>0</v>
      </c>
      <c r="G105" s="98">
        <f>(3.585+2.236+2.236+2.236+2.236+2.955+1.39+1.39+1.39+1.39)*3.281</f>
        <v>69.045364000000021</v>
      </c>
      <c r="H105" s="98">
        <f>+D105</f>
        <v>0.33300000000000002</v>
      </c>
      <c r="I105" s="94">
        <v>2</v>
      </c>
      <c r="J105" s="99">
        <v>3</v>
      </c>
      <c r="K105" s="100">
        <f>+IF(D105=0.667,E105*F105*G105*H105*J105,0)</f>
        <v>0</v>
      </c>
      <c r="L105" s="100">
        <f>+IF(D105=0.333,E105*F105*G105*J105,0)</f>
        <v>0</v>
      </c>
      <c r="M105" s="99">
        <v>4</v>
      </c>
      <c r="N105" s="100">
        <f>+IF(D105=0.667,E105*F105*G105*H105*M105,0)</f>
        <v>0</v>
      </c>
      <c r="O105" s="100">
        <f>+IF(D105=0.333,E105*F105*G105*M105,0)</f>
        <v>0</v>
      </c>
      <c r="P105" s="27">
        <f>11.833-I105-M105-J105</f>
        <v>2.8330000000000002</v>
      </c>
      <c r="Q105" s="100">
        <f>+IF(D105=0.667,E105*F105*G105*H105*P105,0)</f>
        <v>0</v>
      </c>
      <c r="R105" s="100">
        <f>+IF(D105=0.333,E105*F105*G105*P105,0)</f>
        <v>0</v>
      </c>
      <c r="S105" s="101">
        <f t="shared" si="321"/>
        <v>0</v>
      </c>
      <c r="T105" s="101">
        <f t="shared" si="321"/>
        <v>0</v>
      </c>
      <c r="U105" s="92"/>
      <c r="V105" s="91"/>
      <c r="W105" s="102"/>
      <c r="X105" s="98"/>
      <c r="Y105" s="102"/>
      <c r="Z105" s="98"/>
      <c r="AA105" s="98"/>
      <c r="AB105" s="98"/>
      <c r="AC105" s="91"/>
      <c r="AD105" s="98"/>
      <c r="AE105" s="98"/>
      <c r="AF105" s="98"/>
      <c r="AG105" s="91"/>
      <c r="AH105" s="304">
        <v>1</v>
      </c>
      <c r="AI105" s="299">
        <f>+AH105*G105*D105*0.17</f>
        <v>3.9086580560400015</v>
      </c>
      <c r="AK105" s="301">
        <f t="shared" si="363"/>
        <v>0</v>
      </c>
      <c r="AL105" s="301">
        <f t="shared" si="364"/>
        <v>0</v>
      </c>
      <c r="AM105" s="301"/>
      <c r="AN105" s="301"/>
      <c r="AO105" s="299"/>
      <c r="AP105" s="301"/>
      <c r="AQ105" s="301"/>
      <c r="AT105" s="694">
        <f t="shared" si="258"/>
        <v>0</v>
      </c>
    </row>
    <row r="106" spans="2:46" ht="20.100000000000001" customHeight="1" x14ac:dyDescent="0.3">
      <c r="B106" s="18"/>
      <c r="C106" s="62" t="s">
        <v>337</v>
      </c>
      <c r="D106" s="98">
        <v>0.33300000000000002</v>
      </c>
      <c r="E106" s="689">
        <f>-1*0</f>
        <v>0</v>
      </c>
      <c r="F106" s="689">
        <f>4*0</f>
        <v>0</v>
      </c>
      <c r="G106" s="20">
        <v>2.5</v>
      </c>
      <c r="H106" s="20">
        <f t="shared" ref="H106:H109" si="376">+D106</f>
        <v>0.33300000000000002</v>
      </c>
      <c r="I106" s="21"/>
      <c r="J106" s="81">
        <v>3</v>
      </c>
      <c r="K106" s="103">
        <f t="shared" ref="K106:K109" si="377">+IF(D106=0.667,E106*F106*G106*H106*J106,0)</f>
        <v>0</v>
      </c>
      <c r="L106" s="103">
        <f t="shared" ref="L106:L109" si="378">+IF(D106=0.333,E106*F106*G106*J106,0)</f>
        <v>0</v>
      </c>
      <c r="M106" s="81">
        <v>3</v>
      </c>
      <c r="N106" s="103">
        <f t="shared" ref="N106:N109" si="379">+IF(D106=0.667,E106*F106*G106*H106*M106,0)</f>
        <v>0</v>
      </c>
      <c r="O106" s="103">
        <f t="shared" ref="O106:O109" si="380">+IF(D106=0.333,E106*F106*G106*M106,0)</f>
        <v>0</v>
      </c>
      <c r="P106" s="27"/>
      <c r="Q106" s="103">
        <f t="shared" ref="Q106:Q109" si="381">+IF(D106=0.667,E106*F106*G106*H106*P106,0)</f>
        <v>0</v>
      </c>
      <c r="R106" s="103">
        <f t="shared" ref="R106:R109" si="382">+IF(D106=0.333,E106*F106*G106*P106,0)</f>
        <v>0</v>
      </c>
      <c r="S106" s="104">
        <f t="shared" si="321"/>
        <v>0</v>
      </c>
      <c r="T106" s="104">
        <f t="shared" si="321"/>
        <v>0</v>
      </c>
      <c r="U106" s="18"/>
      <c r="V106" s="26"/>
      <c r="W106" s="21">
        <f>+G106+D106</f>
        <v>2.8330000000000002</v>
      </c>
      <c r="X106" s="21">
        <v>0.5</v>
      </c>
      <c r="Y106" s="21">
        <f>+IF(D106=0.667,-E106*F106*H106*W106*X106,0)</f>
        <v>0</v>
      </c>
      <c r="Z106" s="21">
        <f>+IF(D106=0.333,-E106*F106*H106*W106*X106,0)</f>
        <v>0</v>
      </c>
      <c r="AA106" s="21">
        <f>+F106*G106*H106</f>
        <v>0</v>
      </c>
      <c r="AB106" s="21">
        <f t="shared" ref="AB106:AB109" si="383">2*F106*W106*X106</f>
        <v>0</v>
      </c>
      <c r="AC106" s="27"/>
      <c r="AD106" s="21"/>
      <c r="AE106" s="21">
        <f t="shared" ref="AE106:AE109" si="384">+IF(D106=0.667,AD106*W106*H106*F106,0)</f>
        <v>0</v>
      </c>
      <c r="AF106" s="21">
        <f t="shared" ref="AF106:AF109" si="385">+IF(D106=0.333,AD106*W106*H106*F106,0)</f>
        <v>0</v>
      </c>
      <c r="AG106" s="27"/>
      <c r="AH106" s="396"/>
      <c r="AI106" s="21">
        <f t="shared" ref="AI106:AI109" si="386">+AH106*G106*D106*0.17</f>
        <v>0</v>
      </c>
      <c r="AK106" s="301">
        <f t="shared" si="363"/>
        <v>0</v>
      </c>
      <c r="AL106" s="301">
        <f t="shared" si="364"/>
        <v>0</v>
      </c>
      <c r="AM106" s="301"/>
      <c r="AN106" s="301">
        <f>+IF(D106=0.333,1.33,0)*0</f>
        <v>0</v>
      </c>
      <c r="AO106" s="299"/>
      <c r="AP106" s="301"/>
      <c r="AQ106" s="301"/>
      <c r="AT106" s="694">
        <f t="shared" si="258"/>
        <v>0</v>
      </c>
    </row>
    <row r="107" spans="2:46" ht="20.100000000000001" customHeight="1" x14ac:dyDescent="0.3">
      <c r="B107" s="18"/>
      <c r="C107" s="62" t="s">
        <v>341</v>
      </c>
      <c r="D107" s="98">
        <v>0.33300000000000002</v>
      </c>
      <c r="E107" s="689">
        <f>-1*0</f>
        <v>0</v>
      </c>
      <c r="F107" s="689">
        <f>1*0</f>
        <v>0</v>
      </c>
      <c r="G107" s="20">
        <v>3.25</v>
      </c>
      <c r="H107" s="20">
        <f t="shared" si="376"/>
        <v>0.33300000000000002</v>
      </c>
      <c r="I107" s="21"/>
      <c r="J107" s="81">
        <v>3</v>
      </c>
      <c r="K107" s="103">
        <f t="shared" si="377"/>
        <v>0</v>
      </c>
      <c r="L107" s="103">
        <f t="shared" si="378"/>
        <v>0</v>
      </c>
      <c r="M107" s="81">
        <v>3</v>
      </c>
      <c r="N107" s="103">
        <f t="shared" si="379"/>
        <v>0</v>
      </c>
      <c r="O107" s="103">
        <f t="shared" si="380"/>
        <v>0</v>
      </c>
      <c r="P107" s="27"/>
      <c r="Q107" s="103">
        <f t="shared" si="381"/>
        <v>0</v>
      </c>
      <c r="R107" s="103">
        <f t="shared" si="382"/>
        <v>0</v>
      </c>
      <c r="S107" s="104">
        <f t="shared" si="321"/>
        <v>0</v>
      </c>
      <c r="T107" s="104">
        <f t="shared" si="321"/>
        <v>0</v>
      </c>
      <c r="U107" s="18"/>
      <c r="V107" s="26"/>
      <c r="W107" s="21">
        <f>+G107+D107</f>
        <v>3.5830000000000002</v>
      </c>
      <c r="X107" s="21">
        <v>0.5</v>
      </c>
      <c r="Y107" s="21">
        <f>+IF(D107=0.667,-E107*F107*H107*W107*X107,0)</f>
        <v>0</v>
      </c>
      <c r="Z107" s="21">
        <f>+IF(D107=0.333,-E107*F107*H107*W107*X107,0)</f>
        <v>0</v>
      </c>
      <c r="AA107" s="21">
        <f>+F107*G107*H107</f>
        <v>0</v>
      </c>
      <c r="AB107" s="21">
        <f t="shared" si="383"/>
        <v>0</v>
      </c>
      <c r="AC107" s="27"/>
      <c r="AD107" s="21"/>
      <c r="AE107" s="21">
        <f t="shared" si="384"/>
        <v>0</v>
      </c>
      <c r="AF107" s="21">
        <f t="shared" si="385"/>
        <v>0</v>
      </c>
      <c r="AG107" s="27"/>
      <c r="AH107" s="396"/>
      <c r="AI107" s="21">
        <f t="shared" si="386"/>
        <v>0</v>
      </c>
      <c r="AK107" s="301">
        <f t="shared" si="363"/>
        <v>0</v>
      </c>
      <c r="AL107" s="301">
        <f t="shared" si="364"/>
        <v>0</v>
      </c>
      <c r="AM107" s="301"/>
      <c r="AN107" s="301">
        <f>+IF(D107=0.333,1.33,0)*0</f>
        <v>0</v>
      </c>
      <c r="AO107" s="299"/>
      <c r="AP107" s="301"/>
      <c r="AQ107" s="301"/>
      <c r="AT107" s="694">
        <f t="shared" si="258"/>
        <v>0</v>
      </c>
    </row>
    <row r="108" spans="2:46" ht="20.100000000000001" customHeight="1" x14ac:dyDescent="0.3">
      <c r="B108" s="18"/>
      <c r="C108" s="62" t="s">
        <v>343</v>
      </c>
      <c r="D108" s="298">
        <v>0.33300000000000002</v>
      </c>
      <c r="E108" s="689">
        <f>1*0</f>
        <v>0</v>
      </c>
      <c r="F108" s="689">
        <f>1*0</f>
        <v>0</v>
      </c>
      <c r="G108" s="20">
        <f>(1.05+1.05+222)*3.281</f>
        <v>735.27210000000002</v>
      </c>
      <c r="H108" s="20">
        <f t="shared" si="376"/>
        <v>0.33300000000000002</v>
      </c>
      <c r="I108" s="94">
        <v>2</v>
      </c>
      <c r="J108" s="81">
        <v>3</v>
      </c>
      <c r="K108" s="103">
        <f t="shared" si="377"/>
        <v>0</v>
      </c>
      <c r="L108" s="103">
        <f t="shared" si="378"/>
        <v>0</v>
      </c>
      <c r="M108" s="81"/>
      <c r="N108" s="103">
        <f t="shared" si="379"/>
        <v>0</v>
      </c>
      <c r="O108" s="103">
        <f t="shared" si="380"/>
        <v>0</v>
      </c>
      <c r="P108" s="27"/>
      <c r="Q108" s="103">
        <f t="shared" si="381"/>
        <v>0</v>
      </c>
      <c r="R108" s="103">
        <f t="shared" si="382"/>
        <v>0</v>
      </c>
      <c r="S108" s="104">
        <f t="shared" ref="S108:T109" si="387">+Q108+N108+K108</f>
        <v>0</v>
      </c>
      <c r="T108" s="104">
        <f t="shared" si="387"/>
        <v>0</v>
      </c>
      <c r="U108" s="18"/>
      <c r="V108" s="26"/>
      <c r="W108" s="21"/>
      <c r="X108" s="21"/>
      <c r="Y108" s="21"/>
      <c r="Z108" s="21"/>
      <c r="AA108" s="21"/>
      <c r="AB108" s="21">
        <f t="shared" si="383"/>
        <v>0</v>
      </c>
      <c r="AC108" s="27"/>
      <c r="AD108" s="21"/>
      <c r="AE108" s="21">
        <f t="shared" si="384"/>
        <v>0</v>
      </c>
      <c r="AF108" s="21">
        <f t="shared" si="385"/>
        <v>0</v>
      </c>
      <c r="AG108" s="27"/>
      <c r="AH108" s="396">
        <v>1</v>
      </c>
      <c r="AI108" s="21">
        <f t="shared" si="386"/>
        <v>41.62375358100001</v>
      </c>
      <c r="AK108" s="301">
        <f t="shared" si="363"/>
        <v>0</v>
      </c>
      <c r="AL108" s="301"/>
      <c r="AM108" s="301"/>
      <c r="AN108" s="301"/>
      <c r="AO108" s="299">
        <f>+E108*F108*G108</f>
        <v>0</v>
      </c>
      <c r="AP108" s="301"/>
      <c r="AQ108" s="301"/>
      <c r="AT108" s="694">
        <f t="shared" si="258"/>
        <v>0</v>
      </c>
    </row>
    <row r="109" spans="2:46" ht="20.100000000000001" customHeight="1" x14ac:dyDescent="0.3">
      <c r="B109" s="18"/>
      <c r="C109" s="62" t="s">
        <v>344</v>
      </c>
      <c r="D109" s="298">
        <v>0.33300000000000002</v>
      </c>
      <c r="E109" s="689">
        <f>1*0</f>
        <v>0</v>
      </c>
      <c r="F109" s="689">
        <f>1*0</f>
        <v>0</v>
      </c>
      <c r="G109" s="20">
        <f>(1.05+1.05+1.05+1.05+1.2)*3.281</f>
        <v>17.717400000000001</v>
      </c>
      <c r="H109" s="20">
        <f t="shared" si="376"/>
        <v>0.33300000000000002</v>
      </c>
      <c r="I109" s="94">
        <v>2</v>
      </c>
      <c r="J109" s="81">
        <v>3</v>
      </c>
      <c r="K109" s="103">
        <f t="shared" si="377"/>
        <v>0</v>
      </c>
      <c r="L109" s="103">
        <f t="shared" si="378"/>
        <v>0</v>
      </c>
      <c r="M109" s="81"/>
      <c r="N109" s="103">
        <f t="shared" si="379"/>
        <v>0</v>
      </c>
      <c r="O109" s="103">
        <f t="shared" si="380"/>
        <v>0</v>
      </c>
      <c r="P109" s="27"/>
      <c r="Q109" s="103">
        <f t="shared" si="381"/>
        <v>0</v>
      </c>
      <c r="R109" s="103">
        <f t="shared" si="382"/>
        <v>0</v>
      </c>
      <c r="S109" s="104">
        <f t="shared" si="387"/>
        <v>0</v>
      </c>
      <c r="T109" s="104">
        <f t="shared" si="387"/>
        <v>0</v>
      </c>
      <c r="U109" s="18"/>
      <c r="V109" s="26"/>
      <c r="W109" s="21"/>
      <c r="X109" s="21"/>
      <c r="Y109" s="21"/>
      <c r="Z109" s="21"/>
      <c r="AA109" s="21"/>
      <c r="AB109" s="21">
        <f t="shared" si="383"/>
        <v>0</v>
      </c>
      <c r="AC109" s="27"/>
      <c r="AD109" s="21"/>
      <c r="AE109" s="21">
        <f t="shared" si="384"/>
        <v>0</v>
      </c>
      <c r="AF109" s="21">
        <f t="shared" si="385"/>
        <v>0</v>
      </c>
      <c r="AG109" s="27"/>
      <c r="AH109" s="396">
        <v>1</v>
      </c>
      <c r="AI109" s="21">
        <f t="shared" si="386"/>
        <v>1.0029820140000003</v>
      </c>
      <c r="AK109" s="301">
        <f t="shared" si="363"/>
        <v>0</v>
      </c>
      <c r="AL109" s="301"/>
      <c r="AM109" s="301"/>
      <c r="AN109" s="301"/>
      <c r="AO109" s="299">
        <f>+E109*F109*G109</f>
        <v>0</v>
      </c>
      <c r="AP109" s="301"/>
      <c r="AQ109" s="301"/>
      <c r="AT109" s="694">
        <f t="shared" si="258"/>
        <v>0</v>
      </c>
    </row>
    <row r="110" spans="2:46" ht="20.100000000000001" customHeight="1" x14ac:dyDescent="0.3">
      <c r="B110" s="369"/>
      <c r="C110" s="370"/>
      <c r="D110" s="371"/>
      <c r="E110" s="369"/>
      <c r="F110" s="369"/>
      <c r="G110" s="371"/>
      <c r="H110" s="371"/>
      <c r="I110" s="374"/>
      <c r="J110" s="397"/>
      <c r="K110" s="398"/>
      <c r="L110" s="398"/>
      <c r="M110" s="397"/>
      <c r="N110" s="398"/>
      <c r="O110" s="398"/>
      <c r="P110" s="400"/>
      <c r="Q110" s="398"/>
      <c r="R110" s="398"/>
      <c r="S110" s="399"/>
      <c r="T110" s="399"/>
      <c r="U110" s="369"/>
      <c r="V110" s="373"/>
      <c r="W110" s="374"/>
      <c r="X110" s="374"/>
      <c r="Y110" s="374"/>
      <c r="Z110" s="374"/>
      <c r="AA110" s="374"/>
      <c r="AB110" s="374"/>
      <c r="AC110" s="400"/>
      <c r="AD110" s="374"/>
      <c r="AE110" s="374"/>
      <c r="AF110" s="374"/>
      <c r="AG110" s="400"/>
      <c r="AH110" s="401"/>
      <c r="AI110" s="374"/>
      <c r="AK110" s="378"/>
      <c r="AL110" s="378"/>
      <c r="AM110" s="378"/>
      <c r="AN110" s="378"/>
      <c r="AO110" s="374"/>
      <c r="AP110" s="378"/>
      <c r="AQ110" s="378"/>
      <c r="AT110" s="694">
        <f t="shared" si="258"/>
        <v>0</v>
      </c>
    </row>
    <row r="111" spans="2:46" ht="29.25" customHeight="1" x14ac:dyDescent="0.3">
      <c r="B111" s="92"/>
      <c r="C111" s="97" t="s">
        <v>349</v>
      </c>
      <c r="D111" s="92"/>
      <c r="E111" s="92"/>
      <c r="F111" s="92"/>
      <c r="G111" s="92"/>
      <c r="H111" s="92"/>
      <c r="I111" s="94"/>
      <c r="J111" s="92"/>
      <c r="K111" s="92"/>
      <c r="L111" s="92"/>
      <c r="M111" s="92"/>
      <c r="N111" s="92"/>
      <c r="O111" s="92"/>
      <c r="P111" s="95"/>
      <c r="Q111" s="92"/>
      <c r="R111" s="92"/>
      <c r="S111" s="92"/>
      <c r="T111" s="92"/>
      <c r="U111" s="92"/>
      <c r="V111" s="95"/>
      <c r="W111" s="92"/>
      <c r="X111" s="92"/>
      <c r="Y111" s="92"/>
      <c r="Z111" s="92"/>
      <c r="AA111" s="92"/>
      <c r="AB111" s="92"/>
      <c r="AC111" s="95"/>
      <c r="AD111" s="92"/>
      <c r="AE111" s="92"/>
      <c r="AF111" s="92"/>
      <c r="AG111" s="95"/>
      <c r="AH111" s="304"/>
      <c r="AI111" s="301"/>
      <c r="AK111" s="301"/>
      <c r="AL111" s="301"/>
      <c r="AM111" s="301"/>
      <c r="AN111" s="301"/>
      <c r="AO111" s="299"/>
      <c r="AP111" s="301"/>
      <c r="AQ111" s="301"/>
      <c r="AT111" s="694">
        <f t="shared" si="258"/>
        <v>0</v>
      </c>
    </row>
    <row r="112" spans="2:46" ht="20.100000000000001" customHeight="1" x14ac:dyDescent="0.3">
      <c r="B112" s="92"/>
      <c r="C112" s="62" t="s">
        <v>33</v>
      </c>
      <c r="D112" s="98">
        <v>0.66700000000000004</v>
      </c>
      <c r="E112" s="92">
        <v>1</v>
      </c>
      <c r="F112" s="92">
        <v>1</v>
      </c>
      <c r="G112" s="555">
        <f>(1.22)*3.281</f>
        <v>4.0028199999999998</v>
      </c>
      <c r="H112" s="98">
        <f>+D112</f>
        <v>0.66700000000000004</v>
      </c>
      <c r="I112" s="94">
        <v>2</v>
      </c>
      <c r="J112" s="99">
        <v>3</v>
      </c>
      <c r="K112" s="100">
        <f>+IF(D112=0.667,E112*F112*G112*H112*J112,0)</f>
        <v>8.0096428199999998</v>
      </c>
      <c r="L112" s="100">
        <f>+IF(D112=0.333,E112*F112*G112*J112,0)</f>
        <v>0</v>
      </c>
      <c r="M112" s="99">
        <v>4</v>
      </c>
      <c r="N112" s="100">
        <f>+IF(D112=0.667,E112*F112*G112*H112*M112,0)</f>
        <v>10.67952376</v>
      </c>
      <c r="O112" s="100">
        <f>+IF(D112=0.333,E112*F112*G112*M112,0)</f>
        <v>0</v>
      </c>
      <c r="P112" s="27">
        <f>11.833-I112-M112-J112</f>
        <v>2.8330000000000002</v>
      </c>
      <c r="Q112" s="100">
        <f>+IF(D112=0.667,E112*F112*G112*H112*P112,0)</f>
        <v>7.5637727030200006</v>
      </c>
      <c r="R112" s="100">
        <f>+IF(D112=0.333,E112*F112*G112*P112,0)</f>
        <v>0</v>
      </c>
      <c r="S112" s="101">
        <f t="shared" ref="S112:T115" si="388">+Q112+N112+K112</f>
        <v>26.252939283020002</v>
      </c>
      <c r="T112" s="101">
        <f t="shared" si="388"/>
        <v>0</v>
      </c>
      <c r="U112" s="92"/>
      <c r="V112" s="91"/>
      <c r="W112" s="102"/>
      <c r="X112" s="98"/>
      <c r="Y112" s="102"/>
      <c r="Z112" s="98"/>
      <c r="AA112" s="98"/>
      <c r="AB112" s="98"/>
      <c r="AC112" s="91"/>
      <c r="AD112" s="98"/>
      <c r="AE112" s="98"/>
      <c r="AF112" s="98"/>
      <c r="AG112" s="91"/>
      <c r="AH112" s="304">
        <v>1</v>
      </c>
      <c r="AI112" s="299">
        <f>+AH112*G112*D112*0.17</f>
        <v>0.45387975980000006</v>
      </c>
      <c r="AK112" s="301">
        <f t="shared" ref="AK112:AK115" si="389">+IF(D112=0.667,E112*F112*G112,0)</f>
        <v>4.0028199999999998</v>
      </c>
      <c r="AL112" s="301">
        <f t="shared" ref="AL112:AL115" si="390">+IF(D112=0.333,E112*F112*G112,0)</f>
        <v>0</v>
      </c>
      <c r="AM112" s="301"/>
      <c r="AN112" s="301"/>
      <c r="AO112" s="299"/>
      <c r="AP112" s="301"/>
      <c r="AQ112" s="301"/>
      <c r="AT112" s="694">
        <f t="shared" si="258"/>
        <v>4.0028199999999998</v>
      </c>
    </row>
    <row r="113" spans="2:46" ht="20.100000000000001" customHeight="1" x14ac:dyDescent="0.3">
      <c r="B113" s="18"/>
      <c r="C113" s="62" t="s">
        <v>35</v>
      </c>
      <c r="D113" s="98">
        <v>0.66700000000000004</v>
      </c>
      <c r="E113" s="18">
        <v>-1</v>
      </c>
      <c r="F113" s="702">
        <v>1</v>
      </c>
      <c r="G113" s="556">
        <v>3.25</v>
      </c>
      <c r="H113" s="20">
        <f t="shared" ref="H113" si="391">+D113</f>
        <v>0.66700000000000004</v>
      </c>
      <c r="I113" s="21"/>
      <c r="J113" s="81">
        <v>3</v>
      </c>
      <c r="K113" s="103">
        <f t="shared" ref="K113" si="392">+IF(D113=0.667,E113*F113*G113*H113*J113,0)</f>
        <v>-6.5032500000000013</v>
      </c>
      <c r="L113" s="103">
        <f t="shared" ref="L113" si="393">+IF(D113=0.333,E113*F113*G113*J113,0)</f>
        <v>0</v>
      </c>
      <c r="M113" s="81">
        <v>4</v>
      </c>
      <c r="N113" s="103">
        <f t="shared" ref="N113" si="394">+IF(D113=0.667,E113*F113*G113*H113*M113,0)</f>
        <v>-8.6710000000000012</v>
      </c>
      <c r="O113" s="103">
        <f t="shared" ref="O113" si="395">+IF(D113=0.333,E113*F113*G113*M113,0)</f>
        <v>0</v>
      </c>
      <c r="P113" s="27"/>
      <c r="Q113" s="103">
        <f t="shared" ref="Q113" si="396">+IF(D113=0.667,E113*F113*G113*H113*P113,0)</f>
        <v>0</v>
      </c>
      <c r="R113" s="103">
        <f t="shared" ref="R113" si="397">+IF(D113=0.333,E113*F113*G113*P113,0)</f>
        <v>0</v>
      </c>
      <c r="S113" s="104">
        <f t="shared" si="388"/>
        <v>-15.174250000000002</v>
      </c>
      <c r="T113" s="104">
        <f t="shared" si="388"/>
        <v>0</v>
      </c>
      <c r="U113" s="18"/>
      <c r="V113" s="26"/>
      <c r="W113" s="21">
        <f>+G113+D113</f>
        <v>3.9169999999999998</v>
      </c>
      <c r="X113" s="21">
        <v>0.5</v>
      </c>
      <c r="Y113" s="21">
        <f>+IF(D113=0.667,-E113*F113*H113*W113*X113,0)</f>
        <v>1.3063195000000001</v>
      </c>
      <c r="Z113" s="21">
        <f>+IF(D113=0.333,-E113*F113*H113*W113*X113,0)</f>
        <v>0</v>
      </c>
      <c r="AA113" s="21">
        <f>+F113*G113*H113</f>
        <v>2.1677500000000003</v>
      </c>
      <c r="AB113" s="21">
        <f t="shared" ref="AB113" si="398">2*F113*W113*X113</f>
        <v>3.9169999999999998</v>
      </c>
      <c r="AC113" s="27"/>
      <c r="AD113" s="21"/>
      <c r="AE113" s="21">
        <f t="shared" ref="AE113" si="399">+IF(D113=0.667,AD113*W113*H113*F113,0)</f>
        <v>0</v>
      </c>
      <c r="AF113" s="21">
        <f t="shared" ref="AF113" si="400">+IF(D113=0.333,AD113*W113*H113*F113,0)</f>
        <v>0</v>
      </c>
      <c r="AG113" s="27"/>
      <c r="AH113" s="396"/>
      <c r="AI113" s="21">
        <f t="shared" ref="AI113" si="401">+AH113*G113*D113*0.17</f>
        <v>0</v>
      </c>
      <c r="AK113" s="301">
        <f t="shared" si="389"/>
        <v>-3.25</v>
      </c>
      <c r="AL113" s="301">
        <f t="shared" si="390"/>
        <v>0</v>
      </c>
      <c r="AM113" s="450">
        <f>+IF(D113=0.667,1.33,0)</f>
        <v>1.33</v>
      </c>
      <c r="AN113" s="301">
        <f>+IF(D113=0.333,1.33,0)</f>
        <v>0</v>
      </c>
      <c r="AO113" s="299"/>
      <c r="AP113" s="301"/>
      <c r="AQ113" s="301"/>
      <c r="AT113" s="694">
        <f t="shared" si="258"/>
        <v>-3.25</v>
      </c>
    </row>
    <row r="114" spans="2:46" ht="20.100000000000001" customHeight="1" x14ac:dyDescent="0.3">
      <c r="B114" s="92"/>
      <c r="C114" s="62" t="s">
        <v>43</v>
      </c>
      <c r="D114" s="98">
        <v>0.66700000000000004</v>
      </c>
      <c r="E114" s="92">
        <v>1</v>
      </c>
      <c r="F114" s="92">
        <v>1</v>
      </c>
      <c r="G114" s="555">
        <f>(4.53)*3.281</f>
        <v>14.862930000000002</v>
      </c>
      <c r="H114" s="98">
        <f>+D114</f>
        <v>0.66700000000000004</v>
      </c>
      <c r="I114" s="94">
        <v>2</v>
      </c>
      <c r="J114" s="99">
        <v>3</v>
      </c>
      <c r="K114" s="100">
        <f>+IF(D114=0.667,E114*F114*G114*H114*J114,0)</f>
        <v>29.740722930000004</v>
      </c>
      <c r="L114" s="100">
        <f>+IF(D114=0.333,E114*F114*G114*J114,0)</f>
        <v>0</v>
      </c>
      <c r="M114" s="99">
        <v>4</v>
      </c>
      <c r="N114" s="100">
        <f>+IF(D114=0.667,E114*F114*G114*H114*M114,0)</f>
        <v>39.654297240000005</v>
      </c>
      <c r="O114" s="100">
        <f>+IF(D114=0.333,E114*F114*G114*M114,0)</f>
        <v>0</v>
      </c>
      <c r="P114" s="27">
        <f t="shared" ref="P114:P115" si="402">11.833-I114-M114-J114</f>
        <v>2.8330000000000002</v>
      </c>
      <c r="Q114" s="100">
        <f>+IF(D114=0.667,E114*F114*G114*H114*P114,0)</f>
        <v>28.085156020230006</v>
      </c>
      <c r="R114" s="100">
        <f>+IF(D114=0.333,E114*F114*G114*P114,0)</f>
        <v>0</v>
      </c>
      <c r="S114" s="101">
        <f t="shared" si="388"/>
        <v>97.480176190230011</v>
      </c>
      <c r="T114" s="101">
        <f t="shared" si="388"/>
        <v>0</v>
      </c>
      <c r="U114" s="92"/>
      <c r="V114" s="91"/>
      <c r="W114" s="102"/>
      <c r="X114" s="98"/>
      <c r="Y114" s="102"/>
      <c r="Z114" s="98"/>
      <c r="AA114" s="98"/>
      <c r="AB114" s="98"/>
      <c r="AC114" s="91"/>
      <c r="AD114" s="98"/>
      <c r="AE114" s="98"/>
      <c r="AF114" s="98"/>
      <c r="AG114" s="91"/>
      <c r="AH114" s="304">
        <v>1</v>
      </c>
      <c r="AI114" s="299">
        <f>+AH114*G114*D114*0.17</f>
        <v>1.6853076327000003</v>
      </c>
      <c r="AK114" s="301">
        <f t="shared" si="389"/>
        <v>14.862930000000002</v>
      </c>
      <c r="AL114" s="301">
        <f t="shared" si="390"/>
        <v>0</v>
      </c>
      <c r="AM114" s="301"/>
      <c r="AN114" s="301"/>
      <c r="AO114" s="299"/>
      <c r="AP114" s="301"/>
      <c r="AQ114" s="301"/>
      <c r="AT114" s="694">
        <f t="shared" si="258"/>
        <v>14.862930000000002</v>
      </c>
    </row>
    <row r="115" spans="2:46" ht="20.100000000000001" customHeight="1" x14ac:dyDescent="0.3">
      <c r="B115" s="92"/>
      <c r="C115" s="62" t="s">
        <v>31</v>
      </c>
      <c r="D115" s="98">
        <v>0.66700000000000004</v>
      </c>
      <c r="E115" s="92">
        <v>1</v>
      </c>
      <c r="F115" s="92">
        <v>1</v>
      </c>
      <c r="G115" s="555">
        <f>(6.82)*3.281</f>
        <v>22.376420000000003</v>
      </c>
      <c r="H115" s="98">
        <f>+D115</f>
        <v>0.66700000000000004</v>
      </c>
      <c r="I115" s="94">
        <v>2</v>
      </c>
      <c r="J115" s="99">
        <v>3</v>
      </c>
      <c r="K115" s="100">
        <f>+IF(D115=0.667,E115*F115*G115*H115*J115,0)</f>
        <v>44.775216420000007</v>
      </c>
      <c r="L115" s="100">
        <f>+IF(D115=0.333,E115*F115*G115*J115,0)</f>
        <v>0</v>
      </c>
      <c r="M115" s="99">
        <v>4</v>
      </c>
      <c r="N115" s="100">
        <f>+IF(D115=0.667,E115*F115*G115*H115*M115,0)</f>
        <v>59.700288560000011</v>
      </c>
      <c r="O115" s="100">
        <f>+IF(D115=0.333,E115*F115*G115*M115,0)</f>
        <v>0</v>
      </c>
      <c r="P115" s="27">
        <f t="shared" si="402"/>
        <v>2.8330000000000002</v>
      </c>
      <c r="Q115" s="100">
        <f>+IF(D115=0.667,E115*F115*G115*H115*P115,0)</f>
        <v>42.282729372620011</v>
      </c>
      <c r="R115" s="100">
        <f>+IF(D115=0.333,E115*F115*G115*P115,0)</f>
        <v>0</v>
      </c>
      <c r="S115" s="101">
        <f t="shared" si="388"/>
        <v>146.75823435262004</v>
      </c>
      <c r="T115" s="101">
        <f t="shared" si="388"/>
        <v>0</v>
      </c>
      <c r="U115" s="92"/>
      <c r="V115" s="91"/>
      <c r="W115" s="102"/>
      <c r="X115" s="98"/>
      <c r="Y115" s="102"/>
      <c r="Z115" s="98"/>
      <c r="AA115" s="98"/>
      <c r="AB115" s="98"/>
      <c r="AC115" s="91"/>
      <c r="AD115" s="98"/>
      <c r="AE115" s="98"/>
      <c r="AF115" s="98"/>
      <c r="AG115" s="91"/>
      <c r="AH115" s="304">
        <v>1</v>
      </c>
      <c r="AI115" s="299">
        <f>+AH115*G115*D115*0.17</f>
        <v>2.5372622638000006</v>
      </c>
      <c r="AK115" s="301">
        <f t="shared" si="389"/>
        <v>22.376420000000003</v>
      </c>
      <c r="AL115" s="301">
        <f t="shared" si="390"/>
        <v>0</v>
      </c>
      <c r="AM115" s="301"/>
      <c r="AN115" s="301"/>
      <c r="AO115" s="299"/>
      <c r="AP115" s="301"/>
      <c r="AQ115" s="301"/>
      <c r="AT115" s="694">
        <f t="shared" si="258"/>
        <v>22.376420000000003</v>
      </c>
    </row>
    <row r="116" spans="2:46" ht="20.100000000000001" customHeight="1" x14ac:dyDescent="0.3">
      <c r="B116" s="92"/>
      <c r="C116" s="62" t="s">
        <v>568</v>
      </c>
      <c r="D116" s="98">
        <v>0.66700000000000004</v>
      </c>
      <c r="E116" s="92">
        <v>1</v>
      </c>
      <c r="F116" s="92">
        <v>1</v>
      </c>
      <c r="G116" s="555">
        <f>(4.2-1)*3.281</f>
        <v>10.499200000000002</v>
      </c>
      <c r="H116" s="98">
        <f>+D116</f>
        <v>0.66700000000000004</v>
      </c>
      <c r="I116" s="94"/>
      <c r="J116" s="99">
        <v>1</v>
      </c>
      <c r="K116" s="100">
        <f>+IF(D116=0.667,E116*F116*G116*H116*J116,0)</f>
        <v>7.0029664000000018</v>
      </c>
      <c r="L116" s="100">
        <f>+IF(D116=0.333,E116*F116*G116*J116,0)</f>
        <v>0</v>
      </c>
      <c r="M116" s="99">
        <v>0</v>
      </c>
      <c r="N116" s="100">
        <f>+IF(D116=0.667,E116*F116*G116*H116*M116,0)</f>
        <v>0</v>
      </c>
      <c r="O116" s="100">
        <f>+IF(D116=0.333,E116*F116*G116*M116,0)</f>
        <v>0</v>
      </c>
      <c r="P116" s="27"/>
      <c r="Q116" s="100">
        <f>+IF(D116=0.667,E116*F116*G116*H116*P116,0)</f>
        <v>0</v>
      </c>
      <c r="R116" s="100">
        <f>+IF(D116=0.333,E116*F116*G116*P116,0)</f>
        <v>0</v>
      </c>
      <c r="S116" s="101">
        <f t="shared" ref="S116" si="403">+Q116+N116+K116</f>
        <v>7.0029664000000018</v>
      </c>
      <c r="T116" s="101">
        <f t="shared" ref="T116" si="404">+R116+O116+L116</f>
        <v>0</v>
      </c>
      <c r="U116" s="92"/>
      <c r="V116" s="91"/>
      <c r="W116" s="102"/>
      <c r="X116" s="98"/>
      <c r="Y116" s="102"/>
      <c r="Z116" s="98"/>
      <c r="AA116" s="98"/>
      <c r="AB116" s="98"/>
      <c r="AC116" s="91"/>
      <c r="AD116" s="98"/>
      <c r="AE116" s="98"/>
      <c r="AF116" s="98"/>
      <c r="AG116" s="91"/>
      <c r="AH116" s="304">
        <v>1</v>
      </c>
      <c r="AI116" s="299">
        <f>+AH116*G116*D116*0.17</f>
        <v>1.1905042880000003</v>
      </c>
      <c r="AK116" s="301">
        <f t="shared" ref="AK116" si="405">+IF(D116=0.667,E116*F116*G116,0)</f>
        <v>10.499200000000002</v>
      </c>
      <c r="AL116" s="301">
        <f t="shared" ref="AL116" si="406">+IF(D116=0.333,E116*F116*G116,0)</f>
        <v>0</v>
      </c>
      <c r="AM116" s="301"/>
      <c r="AN116" s="301"/>
      <c r="AO116" s="299"/>
      <c r="AP116" s="301"/>
      <c r="AQ116" s="301"/>
      <c r="AT116" s="694">
        <f t="shared" si="258"/>
        <v>10.499200000000002</v>
      </c>
    </row>
    <row r="117" spans="2:46" ht="20.100000000000001" customHeight="1" x14ac:dyDescent="0.3">
      <c r="B117" s="18"/>
      <c r="C117" s="62" t="s">
        <v>35</v>
      </c>
      <c r="D117" s="98">
        <v>0.66700000000000004</v>
      </c>
      <c r="E117" s="18">
        <v>-1</v>
      </c>
      <c r="F117" s="702">
        <v>1</v>
      </c>
      <c r="G117" s="556">
        <v>3.25</v>
      </c>
      <c r="H117" s="20">
        <f t="shared" ref="H117" si="407">+D117</f>
        <v>0.66700000000000004</v>
      </c>
      <c r="I117" s="21"/>
      <c r="J117" s="81">
        <v>3</v>
      </c>
      <c r="K117" s="103">
        <f t="shared" ref="K117" si="408">+IF(D117=0.667,E117*F117*G117*H117*J117,0)</f>
        <v>-6.5032500000000013</v>
      </c>
      <c r="L117" s="103">
        <f t="shared" ref="L117" si="409">+IF(D117=0.333,E117*F117*G117*J117,0)</f>
        <v>0</v>
      </c>
      <c r="M117" s="81">
        <v>4</v>
      </c>
      <c r="N117" s="103">
        <f t="shared" ref="N117" si="410">+IF(D117=0.667,E117*F117*G117*H117*M117,0)</f>
        <v>-8.6710000000000012</v>
      </c>
      <c r="O117" s="103">
        <f t="shared" ref="O117" si="411">+IF(D117=0.333,E117*F117*G117*M117,0)</f>
        <v>0</v>
      </c>
      <c r="P117" s="27"/>
      <c r="Q117" s="103">
        <f t="shared" ref="Q117" si="412">+IF(D117=0.667,E117*F117*G117*H117*P117,0)</f>
        <v>0</v>
      </c>
      <c r="R117" s="103">
        <f t="shared" ref="R117" si="413">+IF(D117=0.333,E117*F117*G117*P117,0)</f>
        <v>0</v>
      </c>
      <c r="S117" s="104">
        <f t="shared" ref="S117:S118" si="414">+Q117+N117+K117</f>
        <v>-15.174250000000002</v>
      </c>
      <c r="T117" s="104">
        <f t="shared" ref="T117:T118" si="415">+R117+O117+L117</f>
        <v>0</v>
      </c>
      <c r="U117" s="18"/>
      <c r="V117" s="26"/>
      <c r="W117" s="21">
        <f>+G117+D117</f>
        <v>3.9169999999999998</v>
      </c>
      <c r="X117" s="21">
        <v>0.5</v>
      </c>
      <c r="Y117" s="21">
        <f>+IF(D117=0.667,-E117*F117*H117*W117*X117,0)</f>
        <v>1.3063195000000001</v>
      </c>
      <c r="Z117" s="21">
        <f>+IF(D117=0.333,-E117*F117*H117*W117*X117,0)</f>
        <v>0</v>
      </c>
      <c r="AA117" s="21">
        <f>+F117*G117*H117</f>
        <v>2.1677500000000003</v>
      </c>
      <c r="AB117" s="21">
        <f t="shared" ref="AB117" si="416">2*F117*W117*X117</f>
        <v>3.9169999999999998</v>
      </c>
      <c r="AC117" s="27"/>
      <c r="AD117" s="21"/>
      <c r="AE117" s="21">
        <f t="shared" ref="AE117" si="417">+IF(D117=0.667,AD117*W117*H117*F117,0)</f>
        <v>0</v>
      </c>
      <c r="AF117" s="21">
        <f t="shared" ref="AF117" si="418">+IF(D117=0.333,AD117*W117*H117*F117,0)</f>
        <v>0</v>
      </c>
      <c r="AG117" s="27"/>
      <c r="AH117" s="396"/>
      <c r="AI117" s="21">
        <f t="shared" ref="AI117" si="419">+AH117*G117*D117*0.17</f>
        <v>0</v>
      </c>
      <c r="AK117" s="301">
        <f t="shared" ref="AK117:AK118" si="420">+IF(D117=0.667,E117*F117*G117,0)</f>
        <v>-3.25</v>
      </c>
      <c r="AL117" s="301">
        <f t="shared" ref="AL117:AL118" si="421">+IF(D117=0.333,E117*F117*G117,0)</f>
        <v>0</v>
      </c>
      <c r="AM117" s="450">
        <f>+IF(D117=0.667,1.33,0)</f>
        <v>1.33</v>
      </c>
      <c r="AN117" s="301">
        <f>+IF(D117=0.333,1.33,0)</f>
        <v>0</v>
      </c>
      <c r="AO117" s="299"/>
      <c r="AP117" s="301"/>
      <c r="AQ117" s="301"/>
      <c r="AT117" s="694">
        <f t="shared" si="258"/>
        <v>-3.25</v>
      </c>
    </row>
    <row r="118" spans="2:46" ht="20.100000000000001" customHeight="1" x14ac:dyDescent="0.3">
      <c r="B118" s="92"/>
      <c r="C118" s="62" t="s">
        <v>38</v>
      </c>
      <c r="D118" s="98">
        <v>0.66700000000000004</v>
      </c>
      <c r="E118" s="92">
        <v>1</v>
      </c>
      <c r="F118" s="92">
        <v>1</v>
      </c>
      <c r="G118" s="555">
        <f>(4.522+5.343)*3.281</f>
        <v>32.367065000000004</v>
      </c>
      <c r="H118" s="98">
        <f>+D118</f>
        <v>0.66700000000000004</v>
      </c>
      <c r="I118" s="94">
        <v>2</v>
      </c>
      <c r="J118" s="99">
        <v>3</v>
      </c>
      <c r="K118" s="100">
        <f>+IF(D118=0.667,E118*F118*G118*H118*J118,0)</f>
        <v>64.76649706500001</v>
      </c>
      <c r="L118" s="100">
        <f>+IF(D118=0.333,E118*F118*G118*J118,0)</f>
        <v>0</v>
      </c>
      <c r="M118" s="99">
        <v>4</v>
      </c>
      <c r="N118" s="100">
        <f>+IF(D118=0.667,E118*F118*G118*H118*M118,0)</f>
        <v>86.355329420000018</v>
      </c>
      <c r="O118" s="100">
        <f>+IF(D118=0.333,E118*F118*G118*M118,0)</f>
        <v>0</v>
      </c>
      <c r="P118" s="27">
        <f t="shared" ref="P118" si="422">11.833-I118-M118-J118</f>
        <v>2.8330000000000002</v>
      </c>
      <c r="Q118" s="100">
        <f>+IF(D118=0.667,E118*F118*G118*H118*P118,0)</f>
        <v>61.161162061715018</v>
      </c>
      <c r="R118" s="100">
        <f>+IF(D118=0.333,E118*F118*G118*P118,0)</f>
        <v>0</v>
      </c>
      <c r="S118" s="101">
        <f t="shared" si="414"/>
        <v>212.28298854671505</v>
      </c>
      <c r="T118" s="101">
        <f t="shared" si="415"/>
        <v>0</v>
      </c>
      <c r="U118" s="92"/>
      <c r="V118" s="91"/>
      <c r="W118" s="102"/>
      <c r="X118" s="98"/>
      <c r="Y118" s="102"/>
      <c r="Z118" s="98"/>
      <c r="AA118" s="98"/>
      <c r="AB118" s="98"/>
      <c r="AC118" s="91"/>
      <c r="AD118" s="98"/>
      <c r="AE118" s="98"/>
      <c r="AF118" s="98"/>
      <c r="AG118" s="91"/>
      <c r="AH118" s="304">
        <v>1</v>
      </c>
      <c r="AI118" s="299">
        <f>+AH118*G118*D118*0.17</f>
        <v>3.6701015003500008</v>
      </c>
      <c r="AK118" s="301">
        <f t="shared" si="420"/>
        <v>32.367065000000004</v>
      </c>
      <c r="AL118" s="301">
        <f t="shared" si="421"/>
        <v>0</v>
      </c>
      <c r="AM118" s="301"/>
      <c r="AN118" s="301"/>
      <c r="AO118" s="299"/>
      <c r="AP118" s="301"/>
      <c r="AQ118" s="301"/>
      <c r="AT118" s="694">
        <f t="shared" si="258"/>
        <v>32.367065000000004</v>
      </c>
    </row>
    <row r="119" spans="2:46" ht="20.100000000000001" customHeight="1" x14ac:dyDescent="0.3">
      <c r="B119" s="369"/>
      <c r="C119" s="370"/>
      <c r="D119" s="371"/>
      <c r="E119" s="369"/>
      <c r="F119" s="369"/>
      <c r="G119" s="371"/>
      <c r="H119" s="371"/>
      <c r="I119" s="374"/>
      <c r="J119" s="397"/>
      <c r="K119" s="398"/>
      <c r="L119" s="398"/>
      <c r="M119" s="397"/>
      <c r="N119" s="398"/>
      <c r="O119" s="398"/>
      <c r="P119" s="400"/>
      <c r="Q119" s="398"/>
      <c r="R119" s="398"/>
      <c r="S119" s="399"/>
      <c r="T119" s="399"/>
      <c r="U119" s="369"/>
      <c r="V119" s="373"/>
      <c r="W119" s="374"/>
      <c r="X119" s="374"/>
      <c r="Y119" s="374"/>
      <c r="Z119" s="374"/>
      <c r="AA119" s="374"/>
      <c r="AB119" s="374"/>
      <c r="AC119" s="400"/>
      <c r="AD119" s="374"/>
      <c r="AE119" s="374"/>
      <c r="AF119" s="374"/>
      <c r="AG119" s="400"/>
      <c r="AH119" s="401"/>
      <c r="AI119" s="374"/>
      <c r="AK119" s="378"/>
      <c r="AL119" s="378"/>
      <c r="AM119" s="378"/>
      <c r="AN119" s="378"/>
      <c r="AO119" s="374"/>
      <c r="AP119" s="378"/>
      <c r="AQ119" s="378"/>
      <c r="AT119" s="694">
        <f t="shared" si="258"/>
        <v>0</v>
      </c>
    </row>
    <row r="120" spans="2:46" ht="20.100000000000001" customHeight="1" x14ac:dyDescent="0.3">
      <c r="B120" s="92"/>
      <c r="C120" s="97" t="s">
        <v>375</v>
      </c>
      <c r="D120" s="92"/>
      <c r="E120" s="92"/>
      <c r="F120" s="92"/>
      <c r="G120" s="92"/>
      <c r="H120" s="92"/>
      <c r="I120" s="94"/>
      <c r="J120" s="92"/>
      <c r="K120" s="92"/>
      <c r="L120" s="92"/>
      <c r="M120" s="92"/>
      <c r="N120" s="92"/>
      <c r="O120" s="92"/>
      <c r="P120" s="95"/>
      <c r="Q120" s="92"/>
      <c r="R120" s="92"/>
      <c r="S120" s="92"/>
      <c r="T120" s="92"/>
      <c r="U120" s="92"/>
      <c r="V120" s="95"/>
      <c r="W120" s="92"/>
      <c r="X120" s="92"/>
      <c r="Y120" s="92"/>
      <c r="Z120" s="92"/>
      <c r="AA120" s="92"/>
      <c r="AB120" s="92"/>
      <c r="AC120" s="95"/>
      <c r="AD120" s="92"/>
      <c r="AE120" s="92"/>
      <c r="AF120" s="92"/>
      <c r="AG120" s="95"/>
      <c r="AH120" s="304"/>
      <c r="AI120" s="301"/>
      <c r="AK120" s="301"/>
      <c r="AL120" s="301"/>
      <c r="AM120" s="301"/>
      <c r="AN120" s="301"/>
      <c r="AO120" s="299"/>
      <c r="AP120" s="301"/>
      <c r="AQ120" s="301"/>
      <c r="AT120" s="694">
        <f t="shared" si="258"/>
        <v>0</v>
      </c>
    </row>
    <row r="121" spans="2:46" ht="20.100000000000001" customHeight="1" x14ac:dyDescent="0.3">
      <c r="B121" s="92"/>
      <c r="C121" s="62" t="s">
        <v>376</v>
      </c>
      <c r="D121" s="98">
        <v>0.66700000000000004</v>
      </c>
      <c r="E121" s="92">
        <v>1</v>
      </c>
      <c r="F121" s="92">
        <v>1</v>
      </c>
      <c r="G121" s="555">
        <f>(5.005+5.3)*3.281</f>
        <v>33.810704999999999</v>
      </c>
      <c r="H121" s="98">
        <f>+D121</f>
        <v>0.66700000000000004</v>
      </c>
      <c r="I121" s="94"/>
      <c r="J121" s="99">
        <v>1</v>
      </c>
      <c r="K121" s="100">
        <f>+IF(D121=0.667,E121*F121*G121*H121*J121,0)</f>
        <v>22.551740235</v>
      </c>
      <c r="L121" s="100">
        <f>+IF(D121=0.333,E121*F121*G121*J121,0)</f>
        <v>0</v>
      </c>
      <c r="M121" s="99"/>
      <c r="N121" s="100">
        <f>+IF(D121=0.667,E121*F121*G121*H121*M121,0)</f>
        <v>0</v>
      </c>
      <c r="O121" s="100">
        <f>+IF(D121=0.333,E121*F121*G121*M121,0)</f>
        <v>0</v>
      </c>
      <c r="P121" s="27"/>
      <c r="Q121" s="100">
        <f>+IF(D121=0.667,E121*F121*G121*H121*P121,0)</f>
        <v>0</v>
      </c>
      <c r="R121" s="100">
        <f>+IF(D121=0.333,E121*F121*G121*P121,0)</f>
        <v>0</v>
      </c>
      <c r="S121" s="101">
        <f t="shared" ref="S121" si="423">+Q121+N121+K121</f>
        <v>22.551740235</v>
      </c>
      <c r="T121" s="101">
        <f t="shared" ref="T121" si="424">+R121+O121+L121</f>
        <v>0</v>
      </c>
      <c r="U121" s="92"/>
      <c r="V121" s="91"/>
      <c r="W121" s="102"/>
      <c r="X121" s="98"/>
      <c r="Y121" s="102"/>
      <c r="Z121" s="98"/>
      <c r="AA121" s="98"/>
      <c r="AB121" s="98"/>
      <c r="AC121" s="91"/>
      <c r="AD121" s="98"/>
      <c r="AE121" s="98"/>
      <c r="AF121" s="98"/>
      <c r="AG121" s="91"/>
      <c r="AH121" s="304">
        <v>1</v>
      </c>
      <c r="AI121" s="299">
        <f>+AH121*G121*D121*0.17</f>
        <v>3.8337958399500005</v>
      </c>
      <c r="AK121" s="301">
        <f t="shared" ref="AK121" si="425">+IF(D121=0.667,E121*F121*G121,0)</f>
        <v>33.810704999999999</v>
      </c>
      <c r="AL121" s="301">
        <f t="shared" ref="AL121" si="426">+IF(D121=0.333,E121*F121*G121,0)</f>
        <v>0</v>
      </c>
      <c r="AM121" s="301"/>
      <c r="AN121" s="301"/>
      <c r="AO121" s="299"/>
      <c r="AP121" s="301"/>
      <c r="AQ121" s="301"/>
      <c r="AT121" s="694">
        <f t="shared" si="258"/>
        <v>33.810704999999999</v>
      </c>
    </row>
    <row r="122" spans="2:46" ht="20.100000000000001" customHeight="1" x14ac:dyDescent="0.3">
      <c r="B122" s="369"/>
      <c r="C122" s="370"/>
      <c r="D122" s="371"/>
      <c r="E122" s="369"/>
      <c r="F122" s="369"/>
      <c r="G122" s="371"/>
      <c r="H122" s="371"/>
      <c r="I122" s="374"/>
      <c r="J122" s="397"/>
      <c r="K122" s="398"/>
      <c r="L122" s="398"/>
      <c r="M122" s="397"/>
      <c r="N122" s="398"/>
      <c r="O122" s="398"/>
      <c r="P122" s="400"/>
      <c r="Q122" s="398"/>
      <c r="R122" s="398"/>
      <c r="S122" s="399"/>
      <c r="T122" s="399"/>
      <c r="U122" s="369"/>
      <c r="V122" s="373"/>
      <c r="W122" s="374"/>
      <c r="X122" s="374"/>
      <c r="Y122" s="374"/>
      <c r="Z122" s="374"/>
      <c r="AA122" s="374"/>
      <c r="AB122" s="374"/>
      <c r="AC122" s="400"/>
      <c r="AD122" s="374"/>
      <c r="AE122" s="374"/>
      <c r="AF122" s="374"/>
      <c r="AG122" s="400"/>
      <c r="AH122" s="401"/>
      <c r="AI122" s="374"/>
      <c r="AK122" s="378"/>
      <c r="AL122" s="378"/>
      <c r="AM122" s="378"/>
      <c r="AN122" s="378"/>
      <c r="AO122" s="374"/>
      <c r="AP122" s="378"/>
      <c r="AQ122" s="378"/>
      <c r="AT122" s="694">
        <f t="shared" si="258"/>
        <v>0</v>
      </c>
    </row>
    <row r="123" spans="2:46" ht="29.25" customHeight="1" x14ac:dyDescent="0.3">
      <c r="B123" s="92"/>
      <c r="C123" s="97" t="s">
        <v>350</v>
      </c>
      <c r="D123" s="92"/>
      <c r="E123" s="92"/>
      <c r="F123" s="92"/>
      <c r="G123" s="92"/>
      <c r="H123" s="92"/>
      <c r="I123" s="94"/>
      <c r="J123" s="92"/>
      <c r="K123" s="92"/>
      <c r="L123" s="92"/>
      <c r="M123" s="92"/>
      <c r="N123" s="92"/>
      <c r="O123" s="92"/>
      <c r="P123" s="95"/>
      <c r="Q123" s="92"/>
      <c r="R123" s="92"/>
      <c r="S123" s="92"/>
      <c r="T123" s="92"/>
      <c r="U123" s="92"/>
      <c r="V123" s="95"/>
      <c r="W123" s="92"/>
      <c r="X123" s="92"/>
      <c r="Y123" s="92"/>
      <c r="Z123" s="92"/>
      <c r="AA123" s="92"/>
      <c r="AB123" s="92"/>
      <c r="AC123" s="95"/>
      <c r="AD123" s="92"/>
      <c r="AE123" s="92"/>
      <c r="AF123" s="92"/>
      <c r="AG123" s="95"/>
      <c r="AH123" s="304"/>
      <c r="AI123" s="301"/>
      <c r="AK123" s="301"/>
      <c r="AL123" s="301"/>
      <c r="AM123" s="301"/>
      <c r="AN123" s="301"/>
      <c r="AO123" s="299"/>
      <c r="AP123" s="301"/>
      <c r="AQ123" s="301"/>
      <c r="AT123" s="694">
        <f t="shared" si="258"/>
        <v>0</v>
      </c>
    </row>
    <row r="124" spans="2:46" ht="20.100000000000001" customHeight="1" x14ac:dyDescent="0.3">
      <c r="B124" s="92"/>
      <c r="C124" s="62" t="s">
        <v>33</v>
      </c>
      <c r="D124" s="98">
        <v>0.66700000000000004</v>
      </c>
      <c r="E124" s="92">
        <v>1</v>
      </c>
      <c r="F124" s="92">
        <v>1</v>
      </c>
      <c r="G124" s="555">
        <f>(1.2)*3.281</f>
        <v>3.9371999999999998</v>
      </c>
      <c r="H124" s="98">
        <f>+D124</f>
        <v>0.66700000000000004</v>
      </c>
      <c r="I124" s="94">
        <v>2</v>
      </c>
      <c r="J124" s="99">
        <v>3</v>
      </c>
      <c r="K124" s="100">
        <f>+IF(D124=0.667,E124*F124*G124*H124*J124,0)</f>
        <v>7.8783372000000007</v>
      </c>
      <c r="L124" s="100">
        <f>+IF(D124=0.333,E124*F124*G124*J124,0)</f>
        <v>0</v>
      </c>
      <c r="M124" s="99">
        <v>4</v>
      </c>
      <c r="N124" s="100">
        <f>+IF(D124=0.667,E124*F124*G124*H124*M124,0)</f>
        <v>10.504449600000001</v>
      </c>
      <c r="O124" s="100">
        <f>+IF(D124=0.333,E124*F124*G124*M124,0)</f>
        <v>0</v>
      </c>
      <c r="P124" s="27">
        <f>11.833-I124-M124-J124</f>
        <v>2.8330000000000002</v>
      </c>
      <c r="Q124" s="100">
        <f>+IF(D124=0.667,E124*F124*G124*H124*P124,0)</f>
        <v>7.439776429200001</v>
      </c>
      <c r="R124" s="100">
        <f>+IF(D124=0.333,E124*F124*G124*P124,0)</f>
        <v>0</v>
      </c>
      <c r="S124" s="101">
        <f t="shared" ref="S124:T127" si="427">+Q124+N124+K124</f>
        <v>25.822563229200004</v>
      </c>
      <c r="T124" s="101">
        <f t="shared" si="427"/>
        <v>0</v>
      </c>
      <c r="U124" s="92"/>
      <c r="V124" s="91"/>
      <c r="W124" s="102"/>
      <c r="X124" s="98"/>
      <c r="Y124" s="102"/>
      <c r="Z124" s="98"/>
      <c r="AA124" s="98"/>
      <c r="AB124" s="98"/>
      <c r="AC124" s="91"/>
      <c r="AD124" s="98"/>
      <c r="AE124" s="98"/>
      <c r="AF124" s="98"/>
      <c r="AG124" s="91"/>
      <c r="AH124" s="304">
        <v>1</v>
      </c>
      <c r="AI124" s="299">
        <f>+AH124*G124*D124*0.17</f>
        <v>0.44643910800000008</v>
      </c>
      <c r="AK124" s="301">
        <f t="shared" ref="AK124:AK127" si="428">+IF(D124=0.667,E124*F124*G124,0)</f>
        <v>3.9371999999999998</v>
      </c>
      <c r="AL124" s="301">
        <f t="shared" ref="AL124:AL127" si="429">+IF(D124=0.333,E124*F124*G124,0)</f>
        <v>0</v>
      </c>
      <c r="AM124" s="301"/>
      <c r="AN124" s="301"/>
      <c r="AO124" s="299"/>
      <c r="AP124" s="301"/>
      <c r="AQ124" s="301"/>
      <c r="AT124" s="694">
        <f t="shared" si="258"/>
        <v>3.9371999999999998</v>
      </c>
    </row>
    <row r="125" spans="2:46" ht="20.100000000000001" customHeight="1" x14ac:dyDescent="0.3">
      <c r="B125" s="18"/>
      <c r="C125" s="62" t="s">
        <v>35</v>
      </c>
      <c r="D125" s="98">
        <v>0.66700000000000004</v>
      </c>
      <c r="E125" s="18">
        <v>-1</v>
      </c>
      <c r="F125" s="702">
        <v>1</v>
      </c>
      <c r="G125" s="556">
        <v>3.25</v>
      </c>
      <c r="H125" s="20">
        <f t="shared" ref="H125" si="430">+D125</f>
        <v>0.66700000000000004</v>
      </c>
      <c r="I125" s="21"/>
      <c r="J125" s="81">
        <v>3</v>
      </c>
      <c r="K125" s="103">
        <f t="shared" ref="K125" si="431">+IF(D125=0.667,E125*F125*G125*H125*J125,0)</f>
        <v>-6.5032500000000013</v>
      </c>
      <c r="L125" s="103">
        <f t="shared" ref="L125" si="432">+IF(D125=0.333,E125*F125*G125*J125,0)</f>
        <v>0</v>
      </c>
      <c r="M125" s="81">
        <v>4</v>
      </c>
      <c r="N125" s="103">
        <f t="shared" ref="N125" si="433">+IF(D125=0.667,E125*F125*G125*H125*M125,0)</f>
        <v>-8.6710000000000012</v>
      </c>
      <c r="O125" s="103">
        <f t="shared" ref="O125" si="434">+IF(D125=0.333,E125*F125*G125*M125,0)</f>
        <v>0</v>
      </c>
      <c r="P125" s="27"/>
      <c r="Q125" s="103">
        <f t="shared" ref="Q125" si="435">+IF(D125=0.667,E125*F125*G125*H125*P125,0)</f>
        <v>0</v>
      </c>
      <c r="R125" s="103">
        <f t="shared" ref="R125" si="436">+IF(D125=0.333,E125*F125*G125*P125,0)</f>
        <v>0</v>
      </c>
      <c r="S125" s="104">
        <f t="shared" si="427"/>
        <v>-15.174250000000002</v>
      </c>
      <c r="T125" s="104">
        <f t="shared" si="427"/>
        <v>0</v>
      </c>
      <c r="U125" s="18"/>
      <c r="V125" s="26"/>
      <c r="W125" s="21">
        <f>+G125+D125</f>
        <v>3.9169999999999998</v>
      </c>
      <c r="X125" s="21">
        <v>0.5</v>
      </c>
      <c r="Y125" s="21">
        <f>+IF(D125=0.667,-E125*F125*H125*W125*X125,0)</f>
        <v>1.3063195000000001</v>
      </c>
      <c r="Z125" s="21">
        <f>+IF(D125=0.333,-E125*F125*H125*W125*X125,0)</f>
        <v>0</v>
      </c>
      <c r="AA125" s="21">
        <f>+F125*G125*H125</f>
        <v>2.1677500000000003</v>
      </c>
      <c r="AB125" s="21">
        <f t="shared" ref="AB125" si="437">2*F125*W125*X125</f>
        <v>3.9169999999999998</v>
      </c>
      <c r="AC125" s="27"/>
      <c r="AD125" s="21"/>
      <c r="AE125" s="21">
        <f t="shared" ref="AE125" si="438">+IF(D125=0.667,AD125*W125*H125*F125,0)</f>
        <v>0</v>
      </c>
      <c r="AF125" s="21">
        <f t="shared" ref="AF125" si="439">+IF(D125=0.333,AD125*W125*H125*F125,0)</f>
        <v>0</v>
      </c>
      <c r="AG125" s="27"/>
      <c r="AH125" s="396"/>
      <c r="AI125" s="21">
        <f t="shared" ref="AI125" si="440">+AH125*G125*D125*0.17</f>
        <v>0</v>
      </c>
      <c r="AK125" s="301">
        <f t="shared" si="428"/>
        <v>-3.25</v>
      </c>
      <c r="AL125" s="301">
        <f t="shared" si="429"/>
        <v>0</v>
      </c>
      <c r="AM125" s="450">
        <f>+IF(D125=0.667,1.33,0)</f>
        <v>1.33</v>
      </c>
      <c r="AN125" s="301"/>
      <c r="AO125" s="299"/>
      <c r="AP125" s="301"/>
      <c r="AQ125" s="301"/>
      <c r="AT125" s="694">
        <f t="shared" si="258"/>
        <v>-3.25</v>
      </c>
    </row>
    <row r="126" spans="2:46" ht="20.100000000000001" customHeight="1" x14ac:dyDescent="0.3">
      <c r="B126" s="92"/>
      <c r="C126" s="62" t="s">
        <v>43</v>
      </c>
      <c r="D126" s="98">
        <v>0.66700000000000004</v>
      </c>
      <c r="E126" s="92">
        <v>1</v>
      </c>
      <c r="F126" s="92">
        <v>1</v>
      </c>
      <c r="G126" s="555">
        <f>(3.71+0.9)*3.281</f>
        <v>15.125410000000002</v>
      </c>
      <c r="H126" s="98">
        <f>+D126</f>
        <v>0.66700000000000004</v>
      </c>
      <c r="I126" s="94">
        <v>2</v>
      </c>
      <c r="J126" s="99">
        <v>3</v>
      </c>
      <c r="K126" s="100">
        <f>+IF(D126=0.667,E126*F126*G126*H126*J126,0)</f>
        <v>30.265945410000008</v>
      </c>
      <c r="L126" s="100">
        <f>+IF(D126=0.333,E126*F126*G126*J126,0)</f>
        <v>0</v>
      </c>
      <c r="M126" s="99">
        <v>4</v>
      </c>
      <c r="N126" s="100">
        <f>+IF(D126=0.667,E126*F126*G126*H126*M126,0)</f>
        <v>40.35459388000001</v>
      </c>
      <c r="O126" s="100">
        <f>+IF(D126=0.333,E126*F126*G126*M126,0)</f>
        <v>0</v>
      </c>
      <c r="P126" s="27">
        <f t="shared" ref="P126:P127" si="441">11.833-I126-M126-J126</f>
        <v>2.8330000000000002</v>
      </c>
      <c r="Q126" s="100">
        <f>+IF(D126=0.667,E126*F126*G126*H126*P126,0)</f>
        <v>28.581141115510007</v>
      </c>
      <c r="R126" s="100">
        <f>+IF(D126=0.333,E126*F126*G126*P126,0)</f>
        <v>0</v>
      </c>
      <c r="S126" s="101">
        <f t="shared" si="427"/>
        <v>99.201680405510018</v>
      </c>
      <c r="T126" s="101">
        <f t="shared" si="427"/>
        <v>0</v>
      </c>
      <c r="U126" s="92"/>
      <c r="V126" s="91"/>
      <c r="W126" s="102"/>
      <c r="X126" s="98"/>
      <c r="Y126" s="102"/>
      <c r="Z126" s="98"/>
      <c r="AA126" s="98"/>
      <c r="AB126" s="98"/>
      <c r="AC126" s="91"/>
      <c r="AD126" s="98"/>
      <c r="AE126" s="98"/>
      <c r="AF126" s="98"/>
      <c r="AG126" s="91"/>
      <c r="AH126" s="304">
        <v>1</v>
      </c>
      <c r="AI126" s="299">
        <f>+AH126*G126*D126*0.17</f>
        <v>1.7150702399000006</v>
      </c>
      <c r="AK126" s="301">
        <f t="shared" si="428"/>
        <v>15.125410000000002</v>
      </c>
      <c r="AL126" s="301">
        <f t="shared" si="429"/>
        <v>0</v>
      </c>
      <c r="AM126" s="301"/>
      <c r="AN126" s="301"/>
      <c r="AO126" s="299"/>
      <c r="AP126" s="301"/>
      <c r="AQ126" s="301"/>
      <c r="AT126" s="694">
        <f t="shared" si="258"/>
        <v>15.125410000000002</v>
      </c>
    </row>
    <row r="127" spans="2:46" ht="20.100000000000001" customHeight="1" x14ac:dyDescent="0.3">
      <c r="B127" s="92"/>
      <c r="C127" s="62" t="s">
        <v>569</v>
      </c>
      <c r="D127" s="98">
        <v>0.66700000000000004</v>
      </c>
      <c r="E127" s="92">
        <v>1</v>
      </c>
      <c r="F127" s="92">
        <v>1</v>
      </c>
      <c r="G127" s="555">
        <f>(4.28)*3.281</f>
        <v>14.042680000000001</v>
      </c>
      <c r="H127" s="98">
        <f>+D127</f>
        <v>0.66700000000000004</v>
      </c>
      <c r="I127" s="94">
        <v>2</v>
      </c>
      <c r="J127" s="99">
        <v>3</v>
      </c>
      <c r="K127" s="100">
        <f>+IF(D127=0.667,E127*F127*G127*H127*J127,0)</f>
        <v>28.099402680000001</v>
      </c>
      <c r="L127" s="100">
        <f>+IF(D127=0.333,E127*F127*G127*J127,0)</f>
        <v>0</v>
      </c>
      <c r="M127" s="99">
        <v>4</v>
      </c>
      <c r="N127" s="100">
        <f>+IF(D127=0.667,E127*F127*G127*H127*M127,0)</f>
        <v>37.465870240000001</v>
      </c>
      <c r="O127" s="100">
        <f>+IF(D127=0.333,E127*F127*G127*M127,0)</f>
        <v>0</v>
      </c>
      <c r="P127" s="27">
        <f t="shared" si="441"/>
        <v>2.8330000000000002</v>
      </c>
      <c r="Q127" s="100">
        <f>+IF(D127=0.667,E127*F127*G127*H127*P127,0)</f>
        <v>26.535202597480001</v>
      </c>
      <c r="R127" s="100">
        <f>+IF(D127=0.333,E127*F127*G127*P127,0)</f>
        <v>0</v>
      </c>
      <c r="S127" s="101">
        <f t="shared" si="427"/>
        <v>92.100475517479993</v>
      </c>
      <c r="T127" s="101">
        <f t="shared" si="427"/>
        <v>0</v>
      </c>
      <c r="U127" s="92"/>
      <c r="V127" s="91"/>
      <c r="W127" s="102"/>
      <c r="X127" s="98"/>
      <c r="Y127" s="102"/>
      <c r="Z127" s="98"/>
      <c r="AA127" s="98"/>
      <c r="AB127" s="98"/>
      <c r="AC127" s="91"/>
      <c r="AD127" s="98"/>
      <c r="AE127" s="98"/>
      <c r="AF127" s="98"/>
      <c r="AG127" s="91"/>
      <c r="AH127" s="304">
        <v>1</v>
      </c>
      <c r="AI127" s="299">
        <f>+AH127*G127*D127*0.17</f>
        <v>1.5922994852000001</v>
      </c>
      <c r="AK127" s="301">
        <f t="shared" si="428"/>
        <v>14.042680000000001</v>
      </c>
      <c r="AL127" s="301">
        <f t="shared" si="429"/>
        <v>0</v>
      </c>
      <c r="AM127" s="301"/>
      <c r="AN127" s="301"/>
      <c r="AO127" s="299"/>
      <c r="AP127" s="301"/>
      <c r="AQ127" s="301"/>
      <c r="AT127" s="694">
        <f t="shared" si="258"/>
        <v>14.042680000000001</v>
      </c>
    </row>
    <row r="128" spans="2:46" ht="20.100000000000001" customHeight="1" x14ac:dyDescent="0.3">
      <c r="B128" s="18"/>
      <c r="C128" s="62" t="s">
        <v>35</v>
      </c>
      <c r="D128" s="98">
        <v>0.66700000000000004</v>
      </c>
      <c r="E128" s="18">
        <v>-1</v>
      </c>
      <c r="F128" s="702">
        <v>1</v>
      </c>
      <c r="G128" s="556">
        <v>3.25</v>
      </c>
      <c r="H128" s="20">
        <f t="shared" ref="H128" si="442">+D128</f>
        <v>0.66700000000000004</v>
      </c>
      <c r="I128" s="21"/>
      <c r="J128" s="81">
        <v>3</v>
      </c>
      <c r="K128" s="103">
        <f t="shared" ref="K128" si="443">+IF(D128=0.667,E128*F128*G128*H128*J128,0)</f>
        <v>-6.5032500000000013</v>
      </c>
      <c r="L128" s="103">
        <f t="shared" ref="L128" si="444">+IF(D128=0.333,E128*F128*G128*J128,0)</f>
        <v>0</v>
      </c>
      <c r="M128" s="81">
        <v>4</v>
      </c>
      <c r="N128" s="103">
        <f t="shared" ref="N128" si="445">+IF(D128=0.667,E128*F128*G128*H128*M128,0)</f>
        <v>-8.6710000000000012</v>
      </c>
      <c r="O128" s="103">
        <f t="shared" ref="O128" si="446">+IF(D128=0.333,E128*F128*G128*M128,0)</f>
        <v>0</v>
      </c>
      <c r="P128" s="27"/>
      <c r="Q128" s="103">
        <f t="shared" ref="Q128" si="447">+IF(D128=0.667,E128*F128*G128*H128*P128,0)</f>
        <v>0</v>
      </c>
      <c r="R128" s="103">
        <f t="shared" ref="R128" si="448">+IF(D128=0.333,E128*F128*G128*P128,0)</f>
        <v>0</v>
      </c>
      <c r="S128" s="104">
        <f t="shared" ref="S128:S129" si="449">+Q128+N128+K128</f>
        <v>-15.174250000000002</v>
      </c>
      <c r="T128" s="104">
        <f t="shared" ref="T128:T129" si="450">+R128+O128+L128</f>
        <v>0</v>
      </c>
      <c r="U128" s="18"/>
      <c r="V128" s="26"/>
      <c r="W128" s="21">
        <f>+G128+D128</f>
        <v>3.9169999999999998</v>
      </c>
      <c r="X128" s="21">
        <v>0.5</v>
      </c>
      <c r="Y128" s="21">
        <f>+IF(D128=0.667,-E128*F128*H128*W128*X128,0)</f>
        <v>1.3063195000000001</v>
      </c>
      <c r="Z128" s="21">
        <f>+IF(D128=0.333,-E128*F128*H128*W128*X128,0)</f>
        <v>0</v>
      </c>
      <c r="AA128" s="21">
        <f>+F128*G128*H128</f>
        <v>2.1677500000000003</v>
      </c>
      <c r="AB128" s="21">
        <f t="shared" ref="AB128" si="451">2*F128*W128*X128</f>
        <v>3.9169999999999998</v>
      </c>
      <c r="AC128" s="27"/>
      <c r="AD128" s="21"/>
      <c r="AE128" s="21">
        <f t="shared" ref="AE128" si="452">+IF(D128=0.667,AD128*W128*H128*F128,0)</f>
        <v>0</v>
      </c>
      <c r="AF128" s="21">
        <f t="shared" ref="AF128" si="453">+IF(D128=0.333,AD128*W128*H128*F128,0)</f>
        <v>0</v>
      </c>
      <c r="AG128" s="27"/>
      <c r="AH128" s="396"/>
      <c r="AI128" s="21">
        <f t="shared" ref="AI128" si="454">+AH128*G128*D128*0.17</f>
        <v>0</v>
      </c>
      <c r="AK128" s="301">
        <f t="shared" ref="AK128:AK129" si="455">+IF(D128=0.667,E128*F128*G128,0)</f>
        <v>-3.25</v>
      </c>
      <c r="AL128" s="301">
        <f t="shared" ref="AL128:AL129" si="456">+IF(D128=0.333,E128*F128*G128,0)</f>
        <v>0</v>
      </c>
      <c r="AM128" s="450">
        <f>+IF(D128=0.667,1.33,0)</f>
        <v>1.33</v>
      </c>
      <c r="AN128" s="301">
        <f>+IF(D128=0.333,1.33,0)</f>
        <v>0</v>
      </c>
      <c r="AO128" s="299"/>
      <c r="AP128" s="301"/>
      <c r="AQ128" s="301"/>
      <c r="AT128" s="694">
        <f t="shared" si="258"/>
        <v>-3.25</v>
      </c>
    </row>
    <row r="129" spans="2:46" ht="20.100000000000001" customHeight="1" x14ac:dyDescent="0.3">
      <c r="B129" s="92"/>
      <c r="C129" s="62" t="s">
        <v>31</v>
      </c>
      <c r="D129" s="98">
        <v>0.66700000000000004</v>
      </c>
      <c r="E129" s="92">
        <v>1</v>
      </c>
      <c r="F129" s="92">
        <v>1</v>
      </c>
      <c r="G129" s="555">
        <f>(7.005+3.267)*3.281</f>
        <v>33.702432000000002</v>
      </c>
      <c r="H129" s="98">
        <f>+D129</f>
        <v>0.66700000000000004</v>
      </c>
      <c r="I129" s="94">
        <v>2</v>
      </c>
      <c r="J129" s="99">
        <v>3</v>
      </c>
      <c r="K129" s="100">
        <f>+IF(D129=0.667,E129*F129*G129*H129*J129,0)</f>
        <v>67.438566432000016</v>
      </c>
      <c r="L129" s="100">
        <f>+IF(D129=0.333,E129*F129*G129*J129,0)</f>
        <v>0</v>
      </c>
      <c r="M129" s="99">
        <v>4</v>
      </c>
      <c r="N129" s="100">
        <f>+IF(D129=0.667,E129*F129*G129*H129*M129,0)</f>
        <v>89.918088576000017</v>
      </c>
      <c r="O129" s="100">
        <f>+IF(D129=0.333,E129*F129*G129*M129,0)</f>
        <v>0</v>
      </c>
      <c r="P129" s="27">
        <f t="shared" ref="P129" si="457">11.833-I129-M129-J129</f>
        <v>2.8330000000000002</v>
      </c>
      <c r="Q129" s="100">
        <f>+IF(D129=0.667,E129*F129*G129*H129*P129,0)</f>
        <v>63.684486233952015</v>
      </c>
      <c r="R129" s="100">
        <f>+IF(D129=0.333,E129*F129*G129*P129,0)</f>
        <v>0</v>
      </c>
      <c r="S129" s="101">
        <f t="shared" si="449"/>
        <v>221.04114124195206</v>
      </c>
      <c r="T129" s="101">
        <f t="shared" si="450"/>
        <v>0</v>
      </c>
      <c r="U129" s="92"/>
      <c r="V129" s="91"/>
      <c r="W129" s="102"/>
      <c r="X129" s="98"/>
      <c r="Y129" s="102"/>
      <c r="Z129" s="98"/>
      <c r="AA129" s="98"/>
      <c r="AB129" s="98"/>
      <c r="AC129" s="91"/>
      <c r="AD129" s="98"/>
      <c r="AE129" s="98"/>
      <c r="AF129" s="98"/>
      <c r="AG129" s="91"/>
      <c r="AH129" s="304">
        <v>1</v>
      </c>
      <c r="AI129" s="299">
        <f>+AH129*G129*D129*0.17</f>
        <v>3.8215187644800008</v>
      </c>
      <c r="AK129" s="301">
        <f t="shared" si="455"/>
        <v>33.702432000000002</v>
      </c>
      <c r="AL129" s="301">
        <f t="shared" si="456"/>
        <v>0</v>
      </c>
      <c r="AM129" s="301"/>
      <c r="AN129" s="301"/>
      <c r="AO129" s="299"/>
      <c r="AP129" s="301"/>
      <c r="AQ129" s="301"/>
      <c r="AT129" s="694">
        <f t="shared" si="258"/>
        <v>33.702432000000002</v>
      </c>
    </row>
    <row r="130" spans="2:46" ht="20.100000000000001" customHeight="1" x14ac:dyDescent="0.3">
      <c r="B130" s="369"/>
      <c r="C130" s="370"/>
      <c r="D130" s="371"/>
      <c r="E130" s="369"/>
      <c r="F130" s="369"/>
      <c r="G130" s="371"/>
      <c r="H130" s="371"/>
      <c r="I130" s="374"/>
      <c r="J130" s="397"/>
      <c r="K130" s="398"/>
      <c r="L130" s="398"/>
      <c r="M130" s="397"/>
      <c r="N130" s="398"/>
      <c r="O130" s="398"/>
      <c r="P130" s="400"/>
      <c r="Q130" s="398"/>
      <c r="R130" s="398"/>
      <c r="S130" s="399"/>
      <c r="T130" s="399"/>
      <c r="U130" s="369"/>
      <c r="V130" s="373"/>
      <c r="W130" s="374"/>
      <c r="X130" s="374"/>
      <c r="Y130" s="374"/>
      <c r="Z130" s="374"/>
      <c r="AA130" s="374"/>
      <c r="AB130" s="374"/>
      <c r="AC130" s="400"/>
      <c r="AD130" s="374"/>
      <c r="AE130" s="374"/>
      <c r="AF130" s="374"/>
      <c r="AG130" s="400"/>
      <c r="AH130" s="401"/>
      <c r="AI130" s="374"/>
      <c r="AK130" s="378"/>
      <c r="AL130" s="378"/>
      <c r="AM130" s="378"/>
      <c r="AN130" s="378"/>
      <c r="AO130" s="374"/>
      <c r="AP130" s="378"/>
      <c r="AQ130" s="378"/>
      <c r="AT130" s="694">
        <f t="shared" si="258"/>
        <v>0</v>
      </c>
    </row>
    <row r="131" spans="2:46" ht="20.100000000000001" customHeight="1" x14ac:dyDescent="0.3">
      <c r="B131" s="92"/>
      <c r="C131" s="97" t="s">
        <v>377</v>
      </c>
      <c r="D131" s="92"/>
      <c r="E131" s="92"/>
      <c r="F131" s="92"/>
      <c r="G131" s="92"/>
      <c r="H131" s="92"/>
      <c r="I131" s="94"/>
      <c r="J131" s="92"/>
      <c r="K131" s="92"/>
      <c r="L131" s="92"/>
      <c r="M131" s="92"/>
      <c r="N131" s="92"/>
      <c r="O131" s="92"/>
      <c r="P131" s="95"/>
      <c r="Q131" s="92"/>
      <c r="R131" s="92"/>
      <c r="S131" s="92"/>
      <c r="T131" s="92"/>
      <c r="U131" s="92"/>
      <c r="V131" s="95"/>
      <c r="W131" s="92"/>
      <c r="X131" s="92"/>
      <c r="Y131" s="92"/>
      <c r="Z131" s="92"/>
      <c r="AA131" s="92"/>
      <c r="AB131" s="92"/>
      <c r="AC131" s="95"/>
      <c r="AD131" s="92"/>
      <c r="AE131" s="92"/>
      <c r="AF131" s="92"/>
      <c r="AG131" s="95"/>
      <c r="AH131" s="304"/>
      <c r="AI131" s="301"/>
      <c r="AK131" s="301"/>
      <c r="AL131" s="301"/>
      <c r="AM131" s="301"/>
      <c r="AN131" s="301"/>
      <c r="AO131" s="299"/>
      <c r="AP131" s="301"/>
      <c r="AQ131" s="301"/>
      <c r="AT131" s="694">
        <f t="shared" si="258"/>
        <v>0</v>
      </c>
    </row>
    <row r="132" spans="2:46" s="412" customFormat="1" ht="20.100000000000001" customHeight="1" x14ac:dyDescent="0.3">
      <c r="B132" s="440"/>
      <c r="C132" s="403" t="s">
        <v>376</v>
      </c>
      <c r="D132" s="416">
        <v>0.66700000000000004</v>
      </c>
      <c r="E132" s="440">
        <v>1</v>
      </c>
      <c r="F132" s="440">
        <v>1</v>
      </c>
      <c r="G132" s="687">
        <f>(5.3)*3.281</f>
        <v>17.389299999999999</v>
      </c>
      <c r="H132" s="416">
        <f>+D132</f>
        <v>0.66700000000000004</v>
      </c>
      <c r="I132" s="441">
        <v>2</v>
      </c>
      <c r="J132" s="442">
        <v>1</v>
      </c>
      <c r="K132" s="443">
        <f>+IF(D132=0.667,E132*F132*G132*H132*J132,0)</f>
        <v>11.5986631</v>
      </c>
      <c r="L132" s="443">
        <f>+IF(D132=0.333,E132*F132*G132*J132,0)</f>
        <v>0</v>
      </c>
      <c r="M132" s="442"/>
      <c r="N132" s="443">
        <f>+IF(D132=0.667,E132*F132*G132*H132*M132,0)</f>
        <v>0</v>
      </c>
      <c r="O132" s="443">
        <f>+IF(D132=0.333,E132*F132*G132*M132,0)</f>
        <v>0</v>
      </c>
      <c r="P132" s="410"/>
      <c r="Q132" s="443">
        <f>+IF(D132=0.667,E132*F132*G132*H132*P132,0)</f>
        <v>0</v>
      </c>
      <c r="R132" s="443">
        <f>+IF(D132=0.333,E132*F132*G132*P132,0)</f>
        <v>0</v>
      </c>
      <c r="S132" s="444">
        <f t="shared" ref="S132" si="458">+Q132+N132+K132</f>
        <v>11.5986631</v>
      </c>
      <c r="T132" s="444">
        <f t="shared" ref="T132" si="459">+R132+O132+L132</f>
        <v>0</v>
      </c>
      <c r="U132" s="440"/>
      <c r="V132" s="445"/>
      <c r="W132" s="446"/>
      <c r="X132" s="416"/>
      <c r="Y132" s="446"/>
      <c r="Z132" s="416"/>
      <c r="AA132" s="416"/>
      <c r="AB132" s="416"/>
      <c r="AC132" s="445"/>
      <c r="AD132" s="416"/>
      <c r="AE132" s="416"/>
      <c r="AF132" s="416"/>
      <c r="AG132" s="445"/>
      <c r="AH132" s="447">
        <v>1</v>
      </c>
      <c r="AI132" s="414">
        <f>+AH132*G132*D132*0.17</f>
        <v>1.9717727270000001</v>
      </c>
      <c r="AK132" s="413">
        <f t="shared" ref="AK132" si="460">+IF(D132=0.667,E132*F132*G132,0)</f>
        <v>17.389299999999999</v>
      </c>
      <c r="AL132" s="413">
        <f t="shared" ref="AL132" si="461">+IF(D132=0.333,E132*F132*G132,0)</f>
        <v>0</v>
      </c>
      <c r="AM132" s="413"/>
      <c r="AN132" s="413"/>
      <c r="AO132" s="414"/>
      <c r="AP132" s="413"/>
      <c r="AQ132" s="413"/>
      <c r="AT132" s="694">
        <f t="shared" si="258"/>
        <v>17.389299999999999</v>
      </c>
    </row>
    <row r="133" spans="2:46" ht="20.100000000000001" customHeight="1" x14ac:dyDescent="0.3">
      <c r="B133" s="369"/>
      <c r="C133" s="370"/>
      <c r="D133" s="371"/>
      <c r="E133" s="369"/>
      <c r="F133" s="369"/>
      <c r="G133" s="371"/>
      <c r="H133" s="371"/>
      <c r="I133" s="374"/>
      <c r="J133" s="397"/>
      <c r="K133" s="398"/>
      <c r="L133" s="398"/>
      <c r="M133" s="397"/>
      <c r="N133" s="398"/>
      <c r="O133" s="398"/>
      <c r="P133" s="400"/>
      <c r="Q133" s="398"/>
      <c r="R133" s="398"/>
      <c r="S133" s="399"/>
      <c r="T133" s="399"/>
      <c r="U133" s="369"/>
      <c r="V133" s="373"/>
      <c r="W133" s="374"/>
      <c r="X133" s="374"/>
      <c r="Y133" s="374"/>
      <c r="Z133" s="374"/>
      <c r="AA133" s="374"/>
      <c r="AB133" s="374"/>
      <c r="AC133" s="400"/>
      <c r="AD133" s="374"/>
      <c r="AE133" s="374"/>
      <c r="AF133" s="374"/>
      <c r="AG133" s="400"/>
      <c r="AH133" s="401"/>
      <c r="AI133" s="374"/>
      <c r="AK133" s="378"/>
      <c r="AL133" s="378"/>
      <c r="AM133" s="378"/>
      <c r="AN133" s="378"/>
      <c r="AO133" s="374"/>
      <c r="AP133" s="378"/>
      <c r="AQ133" s="378"/>
      <c r="AT133" s="694">
        <f t="shared" si="258"/>
        <v>0</v>
      </c>
    </row>
    <row r="134" spans="2:46" ht="20.100000000000001" customHeight="1" x14ac:dyDescent="0.3">
      <c r="B134" s="92"/>
      <c r="C134" s="97" t="s">
        <v>351</v>
      </c>
      <c r="D134" s="98"/>
      <c r="E134" s="92"/>
      <c r="F134" s="92"/>
      <c r="G134" s="98"/>
      <c r="H134" s="98"/>
      <c r="I134" s="94"/>
      <c r="J134" s="92"/>
      <c r="K134" s="92"/>
      <c r="L134" s="92"/>
      <c r="M134" s="92"/>
      <c r="N134" s="92"/>
      <c r="O134" s="92"/>
      <c r="P134" s="95"/>
      <c r="Q134" s="92"/>
      <c r="R134" s="92"/>
      <c r="S134" s="92"/>
      <c r="T134" s="92"/>
      <c r="U134" s="92"/>
      <c r="V134" s="91"/>
      <c r="W134" s="102"/>
      <c r="X134" s="98"/>
      <c r="Y134" s="102"/>
      <c r="Z134" s="98"/>
      <c r="AA134" s="98"/>
      <c r="AB134" s="98"/>
      <c r="AC134" s="91"/>
      <c r="AD134" s="98"/>
      <c r="AE134" s="98"/>
      <c r="AF134" s="98"/>
      <c r="AG134" s="91"/>
      <c r="AH134" s="304"/>
      <c r="AI134" s="299"/>
      <c r="AK134" s="301">
        <f t="shared" ref="AK134:AK161" si="462">+IF(D134=0.667,E134*F134*G134,0)</f>
        <v>0</v>
      </c>
      <c r="AL134" s="301">
        <f t="shared" ref="AL134:AL161" si="463">+IF(D134=0.333,E134*F134*G134,0)</f>
        <v>0</v>
      </c>
      <c r="AM134" s="301"/>
      <c r="AN134" s="301">
        <f>+IF(D134=0.333,1,0)</f>
        <v>0</v>
      </c>
      <c r="AO134" s="299"/>
      <c r="AP134" s="301"/>
      <c r="AQ134" s="301"/>
      <c r="AT134" s="694">
        <f t="shared" si="258"/>
        <v>0</v>
      </c>
    </row>
    <row r="135" spans="2:46" ht="20.100000000000001" customHeight="1" x14ac:dyDescent="0.3">
      <c r="B135" s="92"/>
      <c r="C135" s="95" t="s">
        <v>378</v>
      </c>
      <c r="D135" s="98">
        <v>0.66700000000000004</v>
      </c>
      <c r="E135" s="92">
        <v>1</v>
      </c>
      <c r="F135" s="92">
        <v>1</v>
      </c>
      <c r="G135" s="555">
        <f>(9.05)*3.281</f>
        <v>29.693050000000003</v>
      </c>
      <c r="H135" s="98">
        <f t="shared" ref="H135:H139" si="464">+D135</f>
        <v>0.66700000000000004</v>
      </c>
      <c r="I135" s="94">
        <v>2</v>
      </c>
      <c r="J135" s="99">
        <v>1</v>
      </c>
      <c r="K135" s="100">
        <f t="shared" ref="K135:K139" si="465">+IF(D135=0.667,E135*F135*G135*H135*J135,0)</f>
        <v>19.805264350000002</v>
      </c>
      <c r="L135" s="100">
        <f t="shared" ref="L135:L139" si="466">+IF(D135=0.333,E135*F135*G135*J135,0)</f>
        <v>0</v>
      </c>
      <c r="M135" s="99"/>
      <c r="N135" s="100">
        <f t="shared" ref="N135:N139" si="467">+IF(D135=0.667,E135*F135*G135*H135*M135,0)</f>
        <v>0</v>
      </c>
      <c r="O135" s="100">
        <f t="shared" ref="O135:O139" si="468">+IF(D135=0.333,E135*F135*G135*M135,0)</f>
        <v>0</v>
      </c>
      <c r="P135" s="27"/>
      <c r="Q135" s="100">
        <f t="shared" ref="Q135:Q139" si="469">+IF(D135=0.667,E135*F135*G135*H135*P135,0)</f>
        <v>0</v>
      </c>
      <c r="R135" s="100">
        <f t="shared" ref="R135:R139" si="470">+IF(D135=0.333,E135*F135*G135*P135,0)</f>
        <v>0</v>
      </c>
      <c r="S135" s="101">
        <f t="shared" ref="S135:T139" si="471">+Q135+N135+K135</f>
        <v>19.805264350000002</v>
      </c>
      <c r="T135" s="101">
        <f t="shared" si="471"/>
        <v>0</v>
      </c>
      <c r="U135" s="92"/>
      <c r="V135" s="91"/>
      <c r="W135" s="102"/>
      <c r="X135" s="98"/>
      <c r="Y135" s="102"/>
      <c r="Z135" s="98"/>
      <c r="AA135" s="98"/>
      <c r="AB135" s="98"/>
      <c r="AC135" s="91"/>
      <c r="AD135" s="98"/>
      <c r="AE135" s="98"/>
      <c r="AF135" s="98"/>
      <c r="AG135" s="91"/>
      <c r="AH135" s="304">
        <v>1</v>
      </c>
      <c r="AI135" s="299">
        <f t="shared" ref="AI135:AI139" si="472">+AH135*G135*D135*0.17</f>
        <v>3.3668949395000007</v>
      </c>
      <c r="AK135" s="301">
        <f t="shared" si="462"/>
        <v>29.693050000000003</v>
      </c>
      <c r="AL135" s="301">
        <f t="shared" si="463"/>
        <v>0</v>
      </c>
      <c r="AM135" s="301"/>
      <c r="AN135" s="301"/>
      <c r="AO135" s="299"/>
      <c r="AP135" s="301"/>
      <c r="AQ135" s="301"/>
      <c r="AT135" s="694">
        <f t="shared" si="258"/>
        <v>29.693050000000003</v>
      </c>
    </row>
    <row r="136" spans="2:46" ht="20.100000000000001" customHeight="1" x14ac:dyDescent="0.3">
      <c r="B136" s="92"/>
      <c r="C136" s="95" t="s">
        <v>31</v>
      </c>
      <c r="D136" s="98">
        <v>0.66700000000000004</v>
      </c>
      <c r="E136" s="92">
        <v>1</v>
      </c>
      <c r="F136" s="92">
        <v>1</v>
      </c>
      <c r="G136" s="555">
        <f>(2.739)*3.281</f>
        <v>8.9866589999999995</v>
      </c>
      <c r="H136" s="98">
        <f t="shared" si="464"/>
        <v>0.66700000000000004</v>
      </c>
      <c r="I136" s="94">
        <v>2</v>
      </c>
      <c r="J136" s="99">
        <v>3</v>
      </c>
      <c r="K136" s="100">
        <f t="shared" si="465"/>
        <v>17.982304659</v>
      </c>
      <c r="L136" s="100">
        <f t="shared" si="466"/>
        <v>0</v>
      </c>
      <c r="M136" s="99">
        <v>4</v>
      </c>
      <c r="N136" s="100">
        <f t="shared" si="467"/>
        <v>23.976406212000001</v>
      </c>
      <c r="O136" s="100">
        <f t="shared" si="468"/>
        <v>0</v>
      </c>
      <c r="P136" s="27">
        <f>11.833-I136-M136-J136</f>
        <v>2.8330000000000002</v>
      </c>
      <c r="Q136" s="100">
        <f t="shared" si="469"/>
        <v>16.981289699649</v>
      </c>
      <c r="R136" s="100">
        <f t="shared" si="470"/>
        <v>0</v>
      </c>
      <c r="S136" s="101">
        <f t="shared" si="471"/>
        <v>58.940000570648998</v>
      </c>
      <c r="T136" s="101">
        <f t="shared" si="471"/>
        <v>0</v>
      </c>
      <c r="U136" s="92"/>
      <c r="V136" s="91"/>
      <c r="W136" s="102"/>
      <c r="X136" s="98"/>
      <c r="Y136" s="102"/>
      <c r="Z136" s="98"/>
      <c r="AA136" s="98"/>
      <c r="AB136" s="98"/>
      <c r="AC136" s="91"/>
      <c r="AD136" s="98"/>
      <c r="AE136" s="98"/>
      <c r="AF136" s="98"/>
      <c r="AG136" s="91"/>
      <c r="AH136" s="304">
        <v>1</v>
      </c>
      <c r="AI136" s="299">
        <f t="shared" si="472"/>
        <v>1.01899726401</v>
      </c>
      <c r="AK136" s="301">
        <f t="shared" si="462"/>
        <v>8.9866589999999995</v>
      </c>
      <c r="AL136" s="301">
        <f t="shared" si="463"/>
        <v>0</v>
      </c>
      <c r="AM136" s="301"/>
      <c r="AN136" s="301"/>
      <c r="AO136" s="299"/>
      <c r="AP136" s="301"/>
      <c r="AQ136" s="301"/>
      <c r="AT136" s="694">
        <f t="shared" ref="AT136:AT199" si="473">+E136*F136*G136</f>
        <v>8.9866589999999995</v>
      </c>
    </row>
    <row r="137" spans="2:46" ht="20.100000000000001" customHeight="1" x14ac:dyDescent="0.3">
      <c r="B137" s="92"/>
      <c r="C137" s="95" t="s">
        <v>335</v>
      </c>
      <c r="D137" s="98">
        <v>0.66700000000000004</v>
      </c>
      <c r="E137" s="92">
        <v>-1</v>
      </c>
      <c r="F137" s="92">
        <v>1</v>
      </c>
      <c r="G137" s="555">
        <f>3.5+3.5</f>
        <v>7</v>
      </c>
      <c r="H137" s="98">
        <f t="shared" si="464"/>
        <v>0.66700000000000004</v>
      </c>
      <c r="I137" s="102"/>
      <c r="J137" s="99">
        <v>3</v>
      </c>
      <c r="K137" s="100">
        <f t="shared" si="465"/>
        <v>-14.007000000000001</v>
      </c>
      <c r="L137" s="100">
        <f t="shared" si="466"/>
        <v>0</v>
      </c>
      <c r="M137" s="99">
        <v>4</v>
      </c>
      <c r="N137" s="100">
        <f t="shared" si="467"/>
        <v>-18.676000000000002</v>
      </c>
      <c r="O137" s="100">
        <f t="shared" si="468"/>
        <v>0</v>
      </c>
      <c r="P137" s="590">
        <v>0.5</v>
      </c>
      <c r="Q137" s="100">
        <f t="shared" si="469"/>
        <v>-2.3345000000000002</v>
      </c>
      <c r="R137" s="100">
        <f t="shared" si="470"/>
        <v>0</v>
      </c>
      <c r="S137" s="101">
        <f t="shared" si="471"/>
        <v>-35.017499999999998</v>
      </c>
      <c r="T137" s="101">
        <f t="shared" si="471"/>
        <v>0</v>
      </c>
      <c r="U137" s="92"/>
      <c r="V137" s="91"/>
      <c r="W137" s="98">
        <f>+G137+D137*2</f>
        <v>8.3339999999999996</v>
      </c>
      <c r="X137" s="98">
        <v>0.5</v>
      </c>
      <c r="Y137" s="98">
        <f>+IF(D137=0.667,-E137*F137*H137*W137*X137,0)</f>
        <v>2.7793890000000001</v>
      </c>
      <c r="Z137" s="98">
        <f>+IF(D137=0.333,-E137*F137*H137*W137*X137,0)</f>
        <v>0</v>
      </c>
      <c r="AA137" s="98">
        <f>+F137*G137*H137</f>
        <v>4.6690000000000005</v>
      </c>
      <c r="AB137" s="98">
        <f t="shared" ref="AB137" si="474">2*F137*W137*X137</f>
        <v>8.3339999999999996</v>
      </c>
      <c r="AC137" s="91"/>
      <c r="AD137" s="98"/>
      <c r="AE137" s="98">
        <f>+IF(D137=0.667,AD137*W137*H137*F137,0)</f>
        <v>0</v>
      </c>
      <c r="AF137" s="98">
        <f>+IF(D137=0.333,AD137*W137*H137*F137,0)</f>
        <v>0</v>
      </c>
      <c r="AG137" s="91"/>
      <c r="AH137" s="304"/>
      <c r="AI137" s="299">
        <f t="shared" si="472"/>
        <v>0</v>
      </c>
      <c r="AK137" s="301">
        <f t="shared" si="462"/>
        <v>-7</v>
      </c>
      <c r="AL137" s="301">
        <f t="shared" si="463"/>
        <v>0</v>
      </c>
      <c r="AM137" s="301">
        <f>+IF(D137=0.667,1.33,0)</f>
        <v>1.33</v>
      </c>
      <c r="AN137" s="301"/>
      <c r="AO137" s="299"/>
      <c r="AP137" s="301"/>
      <c r="AQ137" s="301"/>
      <c r="AT137" s="694">
        <f t="shared" si="473"/>
        <v>-7</v>
      </c>
    </row>
    <row r="138" spans="2:46" ht="20.100000000000001" customHeight="1" x14ac:dyDescent="0.3">
      <c r="B138" s="92"/>
      <c r="C138" s="95" t="s">
        <v>38</v>
      </c>
      <c r="D138" s="98">
        <v>0.66700000000000004</v>
      </c>
      <c r="E138" s="92">
        <v>1</v>
      </c>
      <c r="F138" s="92">
        <v>1</v>
      </c>
      <c r="G138" s="555">
        <f>(3.067)*3.281</f>
        <v>10.062827</v>
      </c>
      <c r="H138" s="98">
        <f t="shared" si="464"/>
        <v>0.66700000000000004</v>
      </c>
      <c r="I138" s="94">
        <v>2</v>
      </c>
      <c r="J138" s="99">
        <v>3</v>
      </c>
      <c r="K138" s="100">
        <f t="shared" si="465"/>
        <v>20.135716827000003</v>
      </c>
      <c r="L138" s="100">
        <f t="shared" si="466"/>
        <v>0</v>
      </c>
      <c r="M138" s="99">
        <v>4</v>
      </c>
      <c r="N138" s="100">
        <f t="shared" si="467"/>
        <v>26.847622436000002</v>
      </c>
      <c r="O138" s="100">
        <f t="shared" si="468"/>
        <v>0</v>
      </c>
      <c r="P138" s="27">
        <f>11.833-I138-M138-J138</f>
        <v>2.8330000000000002</v>
      </c>
      <c r="Q138" s="100">
        <f t="shared" si="469"/>
        <v>19.014828590297004</v>
      </c>
      <c r="R138" s="100">
        <f t="shared" si="470"/>
        <v>0</v>
      </c>
      <c r="S138" s="101">
        <f t="shared" si="471"/>
        <v>65.998167853297019</v>
      </c>
      <c r="T138" s="101">
        <f t="shared" si="471"/>
        <v>0</v>
      </c>
      <c r="U138" s="92"/>
      <c r="V138" s="91"/>
      <c r="W138" s="102"/>
      <c r="X138" s="98"/>
      <c r="Y138" s="102"/>
      <c r="Z138" s="98"/>
      <c r="AA138" s="98"/>
      <c r="AB138" s="98"/>
      <c r="AC138" s="91"/>
      <c r="AD138" s="98"/>
      <c r="AE138" s="98"/>
      <c r="AF138" s="98"/>
      <c r="AG138" s="91"/>
      <c r="AH138" s="304">
        <v>1</v>
      </c>
      <c r="AI138" s="299">
        <f t="shared" si="472"/>
        <v>1.1410239535300002</v>
      </c>
      <c r="AK138" s="301">
        <f t="shared" si="462"/>
        <v>10.062827</v>
      </c>
      <c r="AL138" s="301">
        <f t="shared" si="463"/>
        <v>0</v>
      </c>
      <c r="AM138" s="301"/>
      <c r="AN138" s="301"/>
      <c r="AO138" s="299"/>
      <c r="AP138" s="301"/>
      <c r="AQ138" s="301"/>
      <c r="AT138" s="694">
        <f t="shared" si="473"/>
        <v>10.062827</v>
      </c>
    </row>
    <row r="139" spans="2:46" ht="20.100000000000001" customHeight="1" x14ac:dyDescent="0.3">
      <c r="B139" s="92"/>
      <c r="C139" s="95" t="s">
        <v>335</v>
      </c>
      <c r="D139" s="98">
        <v>0.66700000000000004</v>
      </c>
      <c r="E139" s="92">
        <v>-1</v>
      </c>
      <c r="F139" s="92">
        <v>1</v>
      </c>
      <c r="G139" s="555">
        <f>3.5+3.5</f>
        <v>7</v>
      </c>
      <c r="H139" s="98">
        <f t="shared" si="464"/>
        <v>0.66700000000000004</v>
      </c>
      <c r="I139" s="102"/>
      <c r="J139" s="99">
        <v>3</v>
      </c>
      <c r="K139" s="100">
        <f t="shared" si="465"/>
        <v>-14.007000000000001</v>
      </c>
      <c r="L139" s="100">
        <f t="shared" si="466"/>
        <v>0</v>
      </c>
      <c r="M139" s="99">
        <v>4</v>
      </c>
      <c r="N139" s="100">
        <f t="shared" si="467"/>
        <v>-18.676000000000002</v>
      </c>
      <c r="O139" s="100">
        <f t="shared" si="468"/>
        <v>0</v>
      </c>
      <c r="P139" s="590">
        <v>0.5</v>
      </c>
      <c r="Q139" s="100">
        <f t="shared" si="469"/>
        <v>-2.3345000000000002</v>
      </c>
      <c r="R139" s="100">
        <f t="shared" si="470"/>
        <v>0</v>
      </c>
      <c r="S139" s="101">
        <f t="shared" si="471"/>
        <v>-35.017499999999998</v>
      </c>
      <c r="T139" s="101">
        <f t="shared" si="471"/>
        <v>0</v>
      </c>
      <c r="U139" s="92"/>
      <c r="V139" s="91"/>
      <c r="W139" s="98">
        <f>+G139+D139*2</f>
        <v>8.3339999999999996</v>
      </c>
      <c r="X139" s="98">
        <v>0.5</v>
      </c>
      <c r="Y139" s="98">
        <f>+IF(D139=0.667,-E139*F139*H139*W139*X139,0)</f>
        <v>2.7793890000000001</v>
      </c>
      <c r="Z139" s="98">
        <f>+IF(D139=0.333,-E139*F139*H139*W139*X139,0)</f>
        <v>0</v>
      </c>
      <c r="AA139" s="98">
        <f>+F139*G139*H139</f>
        <v>4.6690000000000005</v>
      </c>
      <c r="AB139" s="98">
        <f t="shared" ref="AB139" si="475">2*F139*W139*X139</f>
        <v>8.3339999999999996</v>
      </c>
      <c r="AC139" s="91"/>
      <c r="AD139" s="98"/>
      <c r="AE139" s="98">
        <f>+IF(D139=0.667,AD139*W139*H139*F139,0)</f>
        <v>0</v>
      </c>
      <c r="AF139" s="98">
        <f>+IF(D139=0.333,AD139*W139*H139*F139,0)</f>
        <v>0</v>
      </c>
      <c r="AG139" s="91"/>
      <c r="AH139" s="304"/>
      <c r="AI139" s="299">
        <f t="shared" si="472"/>
        <v>0</v>
      </c>
      <c r="AK139" s="301">
        <f t="shared" si="462"/>
        <v>-7</v>
      </c>
      <c r="AL139" s="301">
        <f t="shared" si="463"/>
        <v>0</v>
      </c>
      <c r="AM139" s="301">
        <f>+IF(D139=0.667,1.33,0)</f>
        <v>1.33</v>
      </c>
      <c r="AN139" s="301"/>
      <c r="AO139" s="299"/>
      <c r="AP139" s="301"/>
      <c r="AQ139" s="301"/>
      <c r="AT139" s="694">
        <f t="shared" si="473"/>
        <v>-7</v>
      </c>
    </row>
    <row r="140" spans="2:46" ht="20.100000000000001" customHeight="1" x14ac:dyDescent="0.3">
      <c r="B140" s="92"/>
      <c r="C140" s="96"/>
      <c r="D140" s="92"/>
      <c r="E140" s="92"/>
      <c r="F140" s="92"/>
      <c r="G140" s="92"/>
      <c r="H140" s="92"/>
      <c r="I140" s="94"/>
      <c r="J140" s="92"/>
      <c r="K140" s="92"/>
      <c r="L140" s="92"/>
      <c r="M140" s="92"/>
      <c r="N140" s="92"/>
      <c r="O140" s="92"/>
      <c r="P140" s="95"/>
      <c r="Q140" s="92"/>
      <c r="R140" s="92"/>
      <c r="S140" s="92"/>
      <c r="T140" s="92"/>
      <c r="U140" s="92"/>
      <c r="V140" s="95"/>
      <c r="W140" s="92"/>
      <c r="X140" s="92"/>
      <c r="Y140" s="92"/>
      <c r="Z140" s="92"/>
      <c r="AA140" s="92"/>
      <c r="AB140" s="92"/>
      <c r="AC140" s="95"/>
      <c r="AD140" s="92"/>
      <c r="AE140" s="92"/>
      <c r="AF140" s="92"/>
      <c r="AG140" s="95"/>
      <c r="AH140" s="305"/>
      <c r="AI140" s="306"/>
      <c r="AK140" s="301">
        <f t="shared" si="462"/>
        <v>0</v>
      </c>
      <c r="AL140" s="301">
        <f t="shared" si="463"/>
        <v>0</v>
      </c>
      <c r="AM140" s="301"/>
      <c r="AN140" s="301"/>
      <c r="AO140" s="299"/>
      <c r="AP140" s="301"/>
      <c r="AQ140" s="301"/>
      <c r="AT140" s="694">
        <f t="shared" si="473"/>
        <v>0</v>
      </c>
    </row>
    <row r="141" spans="2:46" ht="20.100000000000001" customHeight="1" x14ac:dyDescent="0.3">
      <c r="B141" s="92"/>
      <c r="C141" s="97" t="s">
        <v>330</v>
      </c>
      <c r="D141" s="98"/>
      <c r="E141" s="92"/>
      <c r="F141" s="92"/>
      <c r="G141" s="98"/>
      <c r="H141" s="98"/>
      <c r="I141" s="94"/>
      <c r="J141" s="92"/>
      <c r="K141" s="92"/>
      <c r="L141" s="92"/>
      <c r="M141" s="92"/>
      <c r="N141" s="92"/>
      <c r="O141" s="92"/>
      <c r="P141" s="95"/>
      <c r="Q141" s="92"/>
      <c r="R141" s="92"/>
      <c r="S141" s="92"/>
      <c r="T141" s="92"/>
      <c r="U141" s="92"/>
      <c r="V141" s="91"/>
      <c r="W141" s="102"/>
      <c r="X141" s="98"/>
      <c r="Y141" s="102"/>
      <c r="Z141" s="98"/>
      <c r="AA141" s="98"/>
      <c r="AB141" s="98"/>
      <c r="AC141" s="91"/>
      <c r="AD141" s="98"/>
      <c r="AE141" s="98"/>
      <c r="AF141" s="98"/>
      <c r="AG141" s="91"/>
      <c r="AH141" s="304"/>
      <c r="AI141" s="299"/>
      <c r="AK141" s="301">
        <f t="shared" si="462"/>
        <v>0</v>
      </c>
      <c r="AL141" s="301">
        <f t="shared" si="463"/>
        <v>0</v>
      </c>
      <c r="AM141" s="301">
        <v>0</v>
      </c>
      <c r="AN141" s="301"/>
      <c r="AO141" s="299"/>
      <c r="AP141" s="301"/>
      <c r="AQ141" s="301"/>
      <c r="AT141" s="694">
        <f t="shared" si="473"/>
        <v>0</v>
      </c>
    </row>
    <row r="142" spans="2:46" ht="20.100000000000001" customHeight="1" x14ac:dyDescent="0.3">
      <c r="B142" s="92"/>
      <c r="C142" s="95" t="s">
        <v>31</v>
      </c>
      <c r="D142" s="98">
        <v>0.66700000000000004</v>
      </c>
      <c r="E142" s="92">
        <v>1</v>
      </c>
      <c r="F142" s="92">
        <v>1</v>
      </c>
      <c r="G142" s="555">
        <f>(3.563)*3.281</f>
        <v>11.690203</v>
      </c>
      <c r="H142" s="98">
        <f>+D142</f>
        <v>0.66700000000000004</v>
      </c>
      <c r="I142" s="94">
        <v>2</v>
      </c>
      <c r="J142" s="99">
        <v>3</v>
      </c>
      <c r="K142" s="100">
        <f>+IF(D142=0.667,E142*F142*G142*H142*J142,0)</f>
        <v>23.392096203000001</v>
      </c>
      <c r="L142" s="100">
        <f>+IF(D142=0.333,E142*F142*G142*J142,0)</f>
        <v>0</v>
      </c>
      <c r="M142" s="99">
        <v>4</v>
      </c>
      <c r="N142" s="100">
        <f>+IF(D142=0.667,E142*F142*G142*H142*M142,0)</f>
        <v>31.189461604000002</v>
      </c>
      <c r="O142" s="100">
        <f>+IF(D142=0.333,E142*F142*G142*M142,0)</f>
        <v>0</v>
      </c>
      <c r="P142" s="27">
        <f t="shared" ref="P142:P144" si="476">11.833-I142-M142-J142</f>
        <v>2.8330000000000002</v>
      </c>
      <c r="Q142" s="100">
        <f>+IF(D142=0.667,E142*F142*G142*H142*P142,0)</f>
        <v>22.089936181033003</v>
      </c>
      <c r="R142" s="100">
        <f>+IF(D142=0.333,E142*F142*G142*P142,0)</f>
        <v>0</v>
      </c>
      <c r="S142" s="101">
        <f t="shared" ref="S142:T145" si="477">+Q142+N142+K142</f>
        <v>76.671493988033006</v>
      </c>
      <c r="T142" s="101">
        <f t="shared" si="477"/>
        <v>0</v>
      </c>
      <c r="U142" s="92"/>
      <c r="V142" s="91"/>
      <c r="W142" s="102"/>
      <c r="X142" s="98"/>
      <c r="Y142" s="102"/>
      <c r="Z142" s="98"/>
      <c r="AA142" s="98"/>
      <c r="AB142" s="98"/>
      <c r="AC142" s="91"/>
      <c r="AD142" s="98"/>
      <c r="AE142" s="98"/>
      <c r="AF142" s="98"/>
      <c r="AG142" s="91"/>
      <c r="AH142" s="304">
        <v>1</v>
      </c>
      <c r="AI142" s="299">
        <f>+AH142*G142*D142*0.17</f>
        <v>1.3255521181700001</v>
      </c>
      <c r="AK142" s="301">
        <f t="shared" si="462"/>
        <v>11.690203</v>
      </c>
      <c r="AL142" s="301">
        <f t="shared" si="463"/>
        <v>0</v>
      </c>
      <c r="AM142" s="301"/>
      <c r="AN142" s="301"/>
      <c r="AO142" s="299"/>
      <c r="AP142" s="301"/>
      <c r="AQ142" s="301"/>
      <c r="AT142" s="694">
        <f t="shared" si="473"/>
        <v>11.690203</v>
      </c>
    </row>
    <row r="143" spans="2:46" ht="20.100000000000001" customHeight="1" x14ac:dyDescent="0.3">
      <c r="B143" s="92"/>
      <c r="C143" s="95" t="s">
        <v>38</v>
      </c>
      <c r="D143" s="98">
        <v>0.66700000000000004</v>
      </c>
      <c r="E143" s="92">
        <v>1</v>
      </c>
      <c r="F143" s="92">
        <v>1</v>
      </c>
      <c r="G143" s="555">
        <f>(3.334*0+2.97)*3.281</f>
        <v>9.7445700000000013</v>
      </c>
      <c r="H143" s="98">
        <f>+D143</f>
        <v>0.66700000000000004</v>
      </c>
      <c r="I143" s="94">
        <v>2</v>
      </c>
      <c r="J143" s="99">
        <v>3</v>
      </c>
      <c r="K143" s="100">
        <f>+IF(D143=0.667,E143*F143*G143*H143*J143,0)</f>
        <v>19.498884570000001</v>
      </c>
      <c r="L143" s="100">
        <f>+IF(D143=0.333,E143*F143*G143*J143,0)</f>
        <v>0</v>
      </c>
      <c r="M143" s="99">
        <v>4</v>
      </c>
      <c r="N143" s="100">
        <f>+IF(D143=0.667,E143*F143*G143*H143*M143,0)</f>
        <v>25.998512760000004</v>
      </c>
      <c r="O143" s="100">
        <f>+IF(D143=0.333,E143*F143*G143*M143,0)</f>
        <v>0</v>
      </c>
      <c r="P143" s="27">
        <f t="shared" si="476"/>
        <v>2.8330000000000002</v>
      </c>
      <c r="Q143" s="100">
        <f>+IF(D143=0.667,E143*F143*G143*H143*P143,0)</f>
        <v>18.413446662270005</v>
      </c>
      <c r="R143" s="100">
        <f>+IF(D143=0.333,E143*F143*G143*P143,0)</f>
        <v>0</v>
      </c>
      <c r="S143" s="101">
        <f t="shared" si="477"/>
        <v>63.91084399227001</v>
      </c>
      <c r="T143" s="101">
        <f t="shared" si="477"/>
        <v>0</v>
      </c>
      <c r="U143" s="92"/>
      <c r="V143" s="91"/>
      <c r="W143" s="102"/>
      <c r="X143" s="98"/>
      <c r="Y143" s="102"/>
      <c r="Z143" s="98"/>
      <c r="AA143" s="98"/>
      <c r="AB143" s="98"/>
      <c r="AC143" s="91"/>
      <c r="AD143" s="98"/>
      <c r="AE143" s="98"/>
      <c r="AF143" s="98"/>
      <c r="AG143" s="91"/>
      <c r="AH143" s="304">
        <v>1</v>
      </c>
      <c r="AI143" s="299">
        <f>+AH143*G143*D143*0.17</f>
        <v>1.1049367923000002</v>
      </c>
      <c r="AK143" s="301">
        <f t="shared" si="462"/>
        <v>9.7445700000000013</v>
      </c>
      <c r="AL143" s="301">
        <f t="shared" si="463"/>
        <v>0</v>
      </c>
      <c r="AM143" s="301"/>
      <c r="AN143" s="301"/>
      <c r="AO143" s="299"/>
      <c r="AP143" s="301"/>
      <c r="AQ143" s="301"/>
      <c r="AT143" s="694">
        <f t="shared" si="473"/>
        <v>9.7445700000000013</v>
      </c>
    </row>
    <row r="144" spans="2:46" ht="20.100000000000001" customHeight="1" x14ac:dyDescent="0.3">
      <c r="B144" s="92"/>
      <c r="C144" s="95" t="s">
        <v>32</v>
      </c>
      <c r="D144" s="98">
        <v>0.66700000000000004</v>
      </c>
      <c r="E144" s="92">
        <v>1</v>
      </c>
      <c r="F144" s="92">
        <v>1</v>
      </c>
      <c r="G144" s="555">
        <f>(3.334)*3.281</f>
        <v>10.938854000000001</v>
      </c>
      <c r="H144" s="98">
        <f>+D144</f>
        <v>0.66700000000000004</v>
      </c>
      <c r="I144" s="94">
        <v>2</v>
      </c>
      <c r="J144" s="99">
        <v>3</v>
      </c>
      <c r="K144" s="100">
        <f>+IF(D144=0.667,E144*F144*G144*H144*J144,0)</f>
        <v>21.888646854000001</v>
      </c>
      <c r="L144" s="100">
        <f>+IF(D144=0.333,E144*F144*G144*J144,0)</f>
        <v>0</v>
      </c>
      <c r="M144" s="99">
        <v>4</v>
      </c>
      <c r="N144" s="100">
        <f>+IF(D144=0.667,E144*F144*G144*H144*M144,0)</f>
        <v>29.184862472000002</v>
      </c>
      <c r="O144" s="100">
        <f>+IF(D144=0.333,E144*F144*G144*M144,0)</f>
        <v>0</v>
      </c>
      <c r="P144" s="27">
        <f t="shared" si="476"/>
        <v>2.8330000000000002</v>
      </c>
      <c r="Q144" s="100">
        <f>+IF(D144=0.667,E144*F144*G144*H144*P144,0)</f>
        <v>20.670178845794002</v>
      </c>
      <c r="R144" s="100">
        <f>+IF(D144=0.333,E144*F144*G144*P144,0)</f>
        <v>0</v>
      </c>
      <c r="S144" s="101">
        <f t="shared" si="477"/>
        <v>71.743688171794005</v>
      </c>
      <c r="T144" s="101">
        <f t="shared" si="477"/>
        <v>0</v>
      </c>
      <c r="U144" s="92"/>
      <c r="V144" s="91"/>
      <c r="W144" s="102"/>
      <c r="X144" s="98"/>
      <c r="Y144" s="102"/>
      <c r="Z144" s="98"/>
      <c r="AA144" s="98"/>
      <c r="AB144" s="98"/>
      <c r="AC144" s="91"/>
      <c r="AD144" s="98"/>
      <c r="AE144" s="98"/>
      <c r="AF144" s="98"/>
      <c r="AG144" s="91"/>
      <c r="AH144" s="304">
        <v>1</v>
      </c>
      <c r="AI144" s="299">
        <f>+AH144*G144*D144*0.17</f>
        <v>1.2403566550600003</v>
      </c>
      <c r="AK144" s="301">
        <f t="shared" si="462"/>
        <v>10.938854000000001</v>
      </c>
      <c r="AL144" s="301">
        <f t="shared" si="463"/>
        <v>0</v>
      </c>
      <c r="AM144" s="301"/>
      <c r="AN144" s="301"/>
      <c r="AO144" s="299"/>
      <c r="AP144" s="301"/>
      <c r="AQ144" s="301"/>
      <c r="AT144" s="694">
        <f t="shared" si="473"/>
        <v>10.938854000000001</v>
      </c>
    </row>
    <row r="145" spans="2:46" ht="20.100000000000001" customHeight="1" x14ac:dyDescent="0.3">
      <c r="B145" s="92"/>
      <c r="C145" s="95" t="s">
        <v>570</v>
      </c>
      <c r="D145" s="98">
        <v>0.66700000000000004</v>
      </c>
      <c r="E145" s="92">
        <v>-1</v>
      </c>
      <c r="F145" s="92">
        <v>1</v>
      </c>
      <c r="G145" s="555">
        <f>3.5+3.5</f>
        <v>7</v>
      </c>
      <c r="H145" s="98">
        <f t="shared" ref="H145" si="478">+D145</f>
        <v>0.66700000000000004</v>
      </c>
      <c r="I145" s="102"/>
      <c r="J145" s="99">
        <v>3</v>
      </c>
      <c r="K145" s="100">
        <f t="shared" ref="K145" si="479">+IF(D145=0.667,E145*F145*G145*H145*J145,0)</f>
        <v>-14.007000000000001</v>
      </c>
      <c r="L145" s="100">
        <f t="shared" ref="L145" si="480">+IF(D145=0.333,E145*F145*G145*J145,0)</f>
        <v>0</v>
      </c>
      <c r="M145" s="99">
        <v>4</v>
      </c>
      <c r="N145" s="100">
        <f t="shared" ref="N145" si="481">+IF(D145=0.667,E145*F145*G145*H145*M145,0)</f>
        <v>-18.676000000000002</v>
      </c>
      <c r="O145" s="100">
        <f t="shared" ref="O145" si="482">+IF(D145=0.333,E145*F145*G145*M145,0)</f>
        <v>0</v>
      </c>
      <c r="P145" s="590">
        <v>0.5</v>
      </c>
      <c r="Q145" s="100">
        <f t="shared" ref="Q145" si="483">+IF(D145=0.667,E145*F145*G145*H145*P145,0)</f>
        <v>-2.3345000000000002</v>
      </c>
      <c r="R145" s="100">
        <f t="shared" ref="R145" si="484">+IF(D145=0.333,E145*F145*G145*P145,0)</f>
        <v>0</v>
      </c>
      <c r="S145" s="101">
        <f t="shared" si="477"/>
        <v>-35.017499999999998</v>
      </c>
      <c r="T145" s="101">
        <f t="shared" si="477"/>
        <v>0</v>
      </c>
      <c r="U145" s="92"/>
      <c r="V145" s="91"/>
      <c r="W145" s="98">
        <f>+G145+D145*2</f>
        <v>8.3339999999999996</v>
      </c>
      <c r="X145" s="98">
        <v>0.5</v>
      </c>
      <c r="Y145" s="98">
        <f>+IF(D145=0.667,-E145*F145*H145*W145*X145,0)</f>
        <v>2.7793890000000001</v>
      </c>
      <c r="Z145" s="98">
        <f>+IF(D145=0.333,-E145*F145*H145*W145*X145,0)</f>
        <v>0</v>
      </c>
      <c r="AA145" s="98">
        <f>+F145*G145*H145</f>
        <v>4.6690000000000005</v>
      </c>
      <c r="AB145" s="98">
        <f t="shared" ref="AB145" si="485">2*F145*W145*X145</f>
        <v>8.3339999999999996</v>
      </c>
      <c r="AC145" s="91"/>
      <c r="AD145" s="98"/>
      <c r="AE145" s="98">
        <f>+IF(D145=0.667,AD145*W145*H145*F145,0)</f>
        <v>0</v>
      </c>
      <c r="AF145" s="98">
        <f>+IF(D145=0.333,AD145*W145*H145*F145,0)</f>
        <v>0</v>
      </c>
      <c r="AG145" s="91"/>
      <c r="AH145" s="304"/>
      <c r="AI145" s="299">
        <f t="shared" ref="AI145" si="486">+AH145*G145*D145*0.17</f>
        <v>0</v>
      </c>
      <c r="AK145" s="301">
        <f t="shared" ref="AK145" si="487">+IF(D145=0.667,E145*F145*G145,0)</f>
        <v>-7</v>
      </c>
      <c r="AL145" s="301">
        <f t="shared" ref="AL145" si="488">+IF(D145=0.333,E145*F145*G145,0)</f>
        <v>0</v>
      </c>
      <c r="AM145" s="301">
        <f>+IF(D145=0.667,1.33,0)</f>
        <v>1.33</v>
      </c>
      <c r="AN145" s="301"/>
      <c r="AO145" s="299"/>
      <c r="AP145" s="301"/>
      <c r="AQ145" s="301"/>
      <c r="AT145" s="694">
        <f t="shared" si="473"/>
        <v>-7</v>
      </c>
    </row>
    <row r="146" spans="2:46" ht="20.100000000000001" customHeight="1" x14ac:dyDescent="0.3">
      <c r="B146" s="92"/>
      <c r="C146" s="96"/>
      <c r="D146" s="92"/>
      <c r="E146" s="92"/>
      <c r="F146" s="92"/>
      <c r="G146" s="92"/>
      <c r="H146" s="92"/>
      <c r="I146" s="94"/>
      <c r="J146" s="92"/>
      <c r="K146" s="92"/>
      <c r="L146" s="92"/>
      <c r="M146" s="92"/>
      <c r="N146" s="92"/>
      <c r="O146" s="92"/>
      <c r="P146" s="95"/>
      <c r="Q146" s="92"/>
      <c r="R146" s="92"/>
      <c r="S146" s="92"/>
      <c r="T146" s="92"/>
      <c r="U146" s="92"/>
      <c r="V146" s="95"/>
      <c r="W146" s="92"/>
      <c r="X146" s="92"/>
      <c r="Y146" s="92"/>
      <c r="Z146" s="92"/>
      <c r="AA146" s="92"/>
      <c r="AB146" s="92"/>
      <c r="AC146" s="95"/>
      <c r="AD146" s="92"/>
      <c r="AE146" s="92"/>
      <c r="AF146" s="92"/>
      <c r="AG146" s="95"/>
      <c r="AH146" s="305"/>
      <c r="AI146" s="306"/>
      <c r="AK146" s="301">
        <f t="shared" si="462"/>
        <v>0</v>
      </c>
      <c r="AL146" s="301">
        <f t="shared" si="463"/>
        <v>0</v>
      </c>
      <c r="AM146" s="301"/>
      <c r="AN146" s="301"/>
      <c r="AO146" s="299"/>
      <c r="AP146" s="301"/>
      <c r="AQ146" s="301"/>
      <c r="AT146" s="694">
        <f t="shared" si="473"/>
        <v>0</v>
      </c>
    </row>
    <row r="147" spans="2:46" ht="20.100000000000001" customHeight="1" x14ac:dyDescent="0.3">
      <c r="B147" s="92"/>
      <c r="C147" s="97" t="s">
        <v>331</v>
      </c>
      <c r="D147" s="98"/>
      <c r="E147" s="92"/>
      <c r="F147" s="92"/>
      <c r="G147" s="98"/>
      <c r="H147" s="98"/>
      <c r="I147" s="94"/>
      <c r="J147" s="92"/>
      <c r="K147" s="92"/>
      <c r="L147" s="92"/>
      <c r="M147" s="92"/>
      <c r="N147" s="92"/>
      <c r="O147" s="92"/>
      <c r="P147" s="95"/>
      <c r="Q147" s="92"/>
      <c r="R147" s="92"/>
      <c r="S147" s="92"/>
      <c r="T147" s="92"/>
      <c r="U147" s="92"/>
      <c r="V147" s="91"/>
      <c r="W147" s="102"/>
      <c r="X147" s="98"/>
      <c r="Y147" s="102"/>
      <c r="Z147" s="98"/>
      <c r="AA147" s="98"/>
      <c r="AB147" s="98"/>
      <c r="AC147" s="91"/>
      <c r="AD147" s="98"/>
      <c r="AE147" s="98"/>
      <c r="AF147" s="98"/>
      <c r="AG147" s="91"/>
      <c r="AH147" s="304"/>
      <c r="AI147" s="299"/>
      <c r="AK147" s="301">
        <f t="shared" si="462"/>
        <v>0</v>
      </c>
      <c r="AL147" s="301">
        <f t="shared" si="463"/>
        <v>0</v>
      </c>
      <c r="AM147" s="301">
        <v>0</v>
      </c>
      <c r="AN147" s="301"/>
      <c r="AO147" s="299"/>
      <c r="AP147" s="301"/>
      <c r="AQ147" s="301"/>
      <c r="AT147" s="694">
        <f t="shared" si="473"/>
        <v>0</v>
      </c>
    </row>
    <row r="148" spans="2:46" ht="20.100000000000001" customHeight="1" x14ac:dyDescent="0.3">
      <c r="B148" s="92"/>
      <c r="C148" s="95" t="s">
        <v>33</v>
      </c>
      <c r="D148" s="98">
        <v>0.66700000000000004</v>
      </c>
      <c r="E148" s="92">
        <v>1</v>
      </c>
      <c r="F148" s="92">
        <v>1</v>
      </c>
      <c r="G148" s="555">
        <f>(2.1)*3.281</f>
        <v>6.8901000000000003</v>
      </c>
      <c r="H148" s="98">
        <f>+D148</f>
        <v>0.66700000000000004</v>
      </c>
      <c r="I148" s="94">
        <v>2</v>
      </c>
      <c r="J148" s="99">
        <v>3</v>
      </c>
      <c r="K148" s="100">
        <f>+IF(D148=0.667,E148*F148*G148*H148*J148,0)</f>
        <v>13.7870901</v>
      </c>
      <c r="L148" s="100">
        <f>+IF(D148=0.333,E148*F148*G148*J148,0)</f>
        <v>0</v>
      </c>
      <c r="M148" s="99">
        <v>4</v>
      </c>
      <c r="N148" s="100">
        <f>+IF(D148=0.667,E148*F148*G148*H148*M148,0)</f>
        <v>18.382786800000002</v>
      </c>
      <c r="O148" s="100">
        <f>+IF(D148=0.333,E148*F148*G148*M148,0)</f>
        <v>0</v>
      </c>
      <c r="P148" s="27">
        <f t="shared" ref="P148:P149" si="489">11.833-I148-M148-J148</f>
        <v>2.8330000000000002</v>
      </c>
      <c r="Q148" s="100">
        <f>+IF(D148=0.667,E148*F148*G148*H148*P148,0)</f>
        <v>13.019608751100002</v>
      </c>
      <c r="R148" s="100">
        <f>+IF(D148=0.333,E148*F148*G148*P148,0)</f>
        <v>0</v>
      </c>
      <c r="S148" s="101">
        <f t="shared" ref="S148:T149" si="490">+Q148+N148+K148</f>
        <v>45.1894856511</v>
      </c>
      <c r="T148" s="101">
        <f t="shared" si="490"/>
        <v>0</v>
      </c>
      <c r="U148" s="92"/>
      <c r="V148" s="91"/>
      <c r="W148" s="102"/>
      <c r="X148" s="98"/>
      <c r="Y148" s="102"/>
      <c r="Z148" s="98"/>
      <c r="AA148" s="98"/>
      <c r="AB148" s="98"/>
      <c r="AC148" s="91"/>
      <c r="AD148" s="98"/>
      <c r="AE148" s="98"/>
      <c r="AF148" s="98"/>
      <c r="AG148" s="91"/>
      <c r="AH148" s="304">
        <v>1</v>
      </c>
      <c r="AI148" s="299">
        <f>+AH148*G148*D148*0.17</f>
        <v>0.78126843900000009</v>
      </c>
      <c r="AK148" s="301">
        <f t="shared" si="462"/>
        <v>6.8901000000000003</v>
      </c>
      <c r="AL148" s="301">
        <f t="shared" si="463"/>
        <v>0</v>
      </c>
      <c r="AM148" s="301"/>
      <c r="AN148" s="301"/>
      <c r="AO148" s="299"/>
      <c r="AP148" s="301"/>
      <c r="AQ148" s="301"/>
      <c r="AT148" s="694">
        <f t="shared" si="473"/>
        <v>6.8901000000000003</v>
      </c>
    </row>
    <row r="149" spans="2:46" ht="20.100000000000001" customHeight="1" x14ac:dyDescent="0.3">
      <c r="B149" s="92"/>
      <c r="C149" s="95" t="s">
        <v>31</v>
      </c>
      <c r="D149" s="98">
        <v>0.66700000000000004</v>
      </c>
      <c r="E149" s="92">
        <v>1</v>
      </c>
      <c r="F149" s="92">
        <v>1</v>
      </c>
      <c r="G149" s="555">
        <f>(1.63+0.9)*3.281</f>
        <v>8.3009299999999993</v>
      </c>
      <c r="H149" s="98">
        <f>+D149</f>
        <v>0.66700000000000004</v>
      </c>
      <c r="I149" s="94">
        <v>2</v>
      </c>
      <c r="J149" s="99">
        <v>3</v>
      </c>
      <c r="K149" s="100">
        <f>+IF(D149=0.667,E149*F149*G149*H149*J149,0)</f>
        <v>16.610160929999999</v>
      </c>
      <c r="L149" s="100">
        <f>+IF(D149=0.333,E149*F149*G149*J149,0)</f>
        <v>0</v>
      </c>
      <c r="M149" s="99">
        <v>4</v>
      </c>
      <c r="N149" s="100">
        <f>+IF(D149=0.667,E149*F149*G149*H149*M149,0)</f>
        <v>22.146881239999999</v>
      </c>
      <c r="O149" s="100">
        <f>+IF(D149=0.333,E149*F149*G149*M149,0)</f>
        <v>0</v>
      </c>
      <c r="P149" s="27">
        <f t="shared" si="489"/>
        <v>2.8330000000000002</v>
      </c>
      <c r="Q149" s="100">
        <f>+IF(D149=0.667,E149*F149*G149*H149*P149,0)</f>
        <v>15.68552863823</v>
      </c>
      <c r="R149" s="100">
        <f>+IF(D149=0.333,E149*F149*G149*P149,0)</f>
        <v>0</v>
      </c>
      <c r="S149" s="101">
        <f t="shared" si="490"/>
        <v>54.442570808229995</v>
      </c>
      <c r="T149" s="101">
        <f t="shared" si="490"/>
        <v>0</v>
      </c>
      <c r="U149" s="92"/>
      <c r="V149" s="91"/>
      <c r="W149" s="102"/>
      <c r="X149" s="98"/>
      <c r="Y149" s="102"/>
      <c r="Z149" s="98"/>
      <c r="AA149" s="98"/>
      <c r="AB149" s="98"/>
      <c r="AC149" s="91"/>
      <c r="AD149" s="98"/>
      <c r="AE149" s="98"/>
      <c r="AF149" s="98"/>
      <c r="AG149" s="91"/>
      <c r="AH149" s="304">
        <v>1</v>
      </c>
      <c r="AI149" s="299">
        <f>+AH149*G149*D149*0.17</f>
        <v>0.94124245270000007</v>
      </c>
      <c r="AK149" s="301">
        <f t="shared" si="462"/>
        <v>8.3009299999999993</v>
      </c>
      <c r="AL149" s="301">
        <f t="shared" si="463"/>
        <v>0</v>
      </c>
      <c r="AM149" s="301"/>
      <c r="AN149" s="301"/>
      <c r="AO149" s="299"/>
      <c r="AP149" s="301"/>
      <c r="AQ149" s="301"/>
      <c r="AT149" s="694">
        <f t="shared" si="473"/>
        <v>8.3009299999999993</v>
      </c>
    </row>
    <row r="150" spans="2:46" ht="20.100000000000001" customHeight="1" x14ac:dyDescent="0.3">
      <c r="B150" s="92"/>
      <c r="C150" s="95"/>
      <c r="D150" s="98"/>
      <c r="E150" s="92"/>
      <c r="F150" s="92"/>
      <c r="G150" s="98"/>
      <c r="H150" s="98"/>
      <c r="I150" s="102"/>
      <c r="J150" s="92"/>
      <c r="K150" s="92"/>
      <c r="L150" s="92"/>
      <c r="M150" s="92"/>
      <c r="N150" s="92"/>
      <c r="O150" s="92"/>
      <c r="P150" s="95"/>
      <c r="Q150" s="92"/>
      <c r="R150" s="92"/>
      <c r="S150" s="92"/>
      <c r="T150" s="92"/>
      <c r="U150" s="92"/>
      <c r="V150" s="91"/>
      <c r="W150" s="98"/>
      <c r="X150" s="98"/>
      <c r="Y150" s="98"/>
      <c r="Z150" s="98"/>
      <c r="AA150" s="98"/>
      <c r="AB150" s="98"/>
      <c r="AC150" s="91"/>
      <c r="AD150" s="98"/>
      <c r="AE150" s="98"/>
      <c r="AF150" s="98"/>
      <c r="AG150" s="91"/>
      <c r="AH150" s="300"/>
      <c r="AI150" s="301"/>
      <c r="AK150" s="301">
        <f t="shared" si="462"/>
        <v>0</v>
      </c>
      <c r="AL150" s="301">
        <f t="shared" si="463"/>
        <v>0</v>
      </c>
      <c r="AM150" s="301"/>
      <c r="AN150" s="301"/>
      <c r="AO150" s="299"/>
      <c r="AP150" s="301"/>
      <c r="AQ150" s="301"/>
      <c r="AT150" s="694">
        <f t="shared" si="473"/>
        <v>0</v>
      </c>
    </row>
    <row r="151" spans="2:46" ht="20.100000000000001" customHeight="1" x14ac:dyDescent="0.3">
      <c r="B151" s="92"/>
      <c r="C151" s="97" t="s">
        <v>332</v>
      </c>
      <c r="D151" s="98"/>
      <c r="E151" s="92"/>
      <c r="F151" s="92"/>
      <c r="G151" s="98"/>
      <c r="H151" s="98"/>
      <c r="I151" s="94"/>
      <c r="J151" s="92"/>
      <c r="K151" s="92"/>
      <c r="L151" s="92"/>
      <c r="M151" s="92"/>
      <c r="N151" s="92"/>
      <c r="O151" s="92"/>
      <c r="P151" s="95"/>
      <c r="Q151" s="92"/>
      <c r="R151" s="92"/>
      <c r="S151" s="92"/>
      <c r="T151" s="92"/>
      <c r="U151" s="92"/>
      <c r="V151" s="91"/>
      <c r="W151" s="102"/>
      <c r="X151" s="98"/>
      <c r="Y151" s="102"/>
      <c r="Z151" s="98"/>
      <c r="AA151" s="98"/>
      <c r="AB151" s="98"/>
      <c r="AC151" s="91"/>
      <c r="AD151" s="98"/>
      <c r="AE151" s="98"/>
      <c r="AF151" s="98"/>
      <c r="AG151" s="91"/>
      <c r="AH151" s="305"/>
      <c r="AI151" s="299"/>
      <c r="AK151" s="301">
        <f t="shared" si="462"/>
        <v>0</v>
      </c>
      <c r="AL151" s="301">
        <f t="shared" si="463"/>
        <v>0</v>
      </c>
      <c r="AM151" s="301"/>
      <c r="AN151" s="301">
        <f>+IF(D151=0.333,1.33,0)</f>
        <v>0</v>
      </c>
      <c r="AO151" s="299"/>
      <c r="AP151" s="301"/>
      <c r="AQ151" s="301"/>
      <c r="AT151" s="694">
        <f t="shared" si="473"/>
        <v>0</v>
      </c>
    </row>
    <row r="152" spans="2:46" ht="20.100000000000001" customHeight="1" x14ac:dyDescent="0.3">
      <c r="B152" s="92"/>
      <c r="C152" s="95" t="s">
        <v>33</v>
      </c>
      <c r="D152" s="98">
        <v>0.66700000000000004</v>
      </c>
      <c r="E152" s="92">
        <v>1</v>
      </c>
      <c r="F152" s="92">
        <v>1</v>
      </c>
      <c r="G152" s="555">
        <f>+(2.14*3.281)</f>
        <v>7.0213400000000004</v>
      </c>
      <c r="H152" s="98">
        <f>+D152</f>
        <v>0.66700000000000004</v>
      </c>
      <c r="I152" s="94">
        <v>2</v>
      </c>
      <c r="J152" s="99">
        <v>3</v>
      </c>
      <c r="K152" s="100">
        <f>+IF(D152=0.667,E152*F152*G152*H152*J152,0)</f>
        <v>14.04970134</v>
      </c>
      <c r="L152" s="100">
        <f>+IF(D152=0.333,E152*F152*G152*J152,0)</f>
        <v>0</v>
      </c>
      <c r="M152" s="99">
        <v>4</v>
      </c>
      <c r="N152" s="100">
        <f>+IF(D152=0.667,E152*F152*G152*H152*M152,0)</f>
        <v>18.73293512</v>
      </c>
      <c r="O152" s="100">
        <f>+IF(D152=0.333,E152*F152*G152*M152,0)</f>
        <v>0</v>
      </c>
      <c r="P152" s="27">
        <f>11.833-I152-M152-J152</f>
        <v>2.8330000000000002</v>
      </c>
      <c r="Q152" s="100">
        <f>+IF(D152=0.667,E152*F152*G152*H152*P152,0)</f>
        <v>13.267601298740001</v>
      </c>
      <c r="R152" s="100">
        <f>+IF(D152=0.333,E152*F152*G152*P152,0)</f>
        <v>0</v>
      </c>
      <c r="S152" s="101">
        <f t="shared" ref="S152:T155" si="491">+Q152+N152+K152</f>
        <v>46.050237758739996</v>
      </c>
      <c r="T152" s="101">
        <f t="shared" si="491"/>
        <v>0</v>
      </c>
      <c r="U152" s="92"/>
      <c r="V152" s="91"/>
      <c r="W152" s="102"/>
      <c r="X152" s="98"/>
      <c r="Y152" s="102"/>
      <c r="Z152" s="98"/>
      <c r="AA152" s="98"/>
      <c r="AB152" s="98"/>
      <c r="AC152" s="91"/>
      <c r="AD152" s="98"/>
      <c r="AE152" s="98"/>
      <c r="AF152" s="98"/>
      <c r="AG152" s="91"/>
      <c r="AH152" s="305">
        <v>1</v>
      </c>
      <c r="AI152" s="299">
        <f>+AH152*G152*D152*0.17</f>
        <v>0.79614974260000004</v>
      </c>
      <c r="AK152" s="301">
        <f t="shared" si="462"/>
        <v>7.0213400000000004</v>
      </c>
      <c r="AL152" s="301">
        <f t="shared" si="463"/>
        <v>0</v>
      </c>
      <c r="AM152" s="301"/>
      <c r="AN152" s="301">
        <f>+IF(D152=0.333,1.33,0)</f>
        <v>0</v>
      </c>
      <c r="AO152" s="299"/>
      <c r="AP152" s="301">
        <f>+S152</f>
        <v>46.050237758739996</v>
      </c>
      <c r="AQ152" s="301"/>
      <c r="AT152" s="694">
        <f t="shared" si="473"/>
        <v>7.0213400000000004</v>
      </c>
    </row>
    <row r="153" spans="2:46" ht="20.100000000000001" customHeight="1" x14ac:dyDescent="0.3">
      <c r="B153" s="18"/>
      <c r="C153" s="62" t="s">
        <v>130</v>
      </c>
      <c r="D153" s="98">
        <v>0.66700000000000004</v>
      </c>
      <c r="E153" s="18">
        <v>-1</v>
      </c>
      <c r="F153" s="18">
        <v>1</v>
      </c>
      <c r="G153" s="556">
        <v>3</v>
      </c>
      <c r="H153" s="20">
        <f t="shared" ref="H153" si="492">+D153</f>
        <v>0.66700000000000004</v>
      </c>
      <c r="I153" s="21"/>
      <c r="J153" s="22">
        <v>3</v>
      </c>
      <c r="K153" s="103">
        <f t="shared" ref="K153" si="493">+IF(D153=0.667,E153*F153*G153*H153*J153,0)</f>
        <v>-6.003000000000001</v>
      </c>
      <c r="L153" s="103">
        <f t="shared" ref="L153" si="494">+IF(D153=0.333,E153*F153*G153*J153,0)</f>
        <v>0</v>
      </c>
      <c r="M153" s="81">
        <v>4</v>
      </c>
      <c r="N153" s="103">
        <f t="shared" ref="N153" si="495">+IF(D153=0.667,E153*F153*G153*H153*M153,0)</f>
        <v>-8.0040000000000013</v>
      </c>
      <c r="O153" s="103">
        <f t="shared" ref="O153" si="496">+IF(D153=0.333,E153*F153*G153*M153,0)</f>
        <v>0</v>
      </c>
      <c r="P153" s="27"/>
      <c r="Q153" s="103">
        <f t="shared" ref="Q153" si="497">+IF(D153=0.667,E153*F153*G153*H153*P153,0)</f>
        <v>0</v>
      </c>
      <c r="R153" s="103">
        <f t="shared" ref="R153" si="498">+IF(D153=0.333,E153*F153*G153*P153,0)</f>
        <v>0</v>
      </c>
      <c r="S153" s="104">
        <f t="shared" si="491"/>
        <v>-14.007000000000001</v>
      </c>
      <c r="T153" s="104">
        <f t="shared" si="491"/>
        <v>0</v>
      </c>
      <c r="U153" s="18"/>
      <c r="V153" s="26"/>
      <c r="W153" s="21">
        <f>+G153+D153</f>
        <v>3.6669999999999998</v>
      </c>
      <c r="X153" s="21">
        <v>0.5</v>
      </c>
      <c r="Y153" s="21">
        <f>+IF(D153=0.667,-E153*F153*H153*W153*X153,0)</f>
        <v>1.2229445000000001</v>
      </c>
      <c r="Z153" s="21">
        <f>+IF(D153=0.333,-E153*F153*H153*W153*X153,0)</f>
        <v>0</v>
      </c>
      <c r="AA153" s="21">
        <f>+F153*G153*H153</f>
        <v>2.0010000000000003</v>
      </c>
      <c r="AB153" s="21">
        <f t="shared" ref="AB153" si="499">2*F153*W153*X153</f>
        <v>3.6669999999999998</v>
      </c>
      <c r="AC153" s="27"/>
      <c r="AD153" s="21"/>
      <c r="AE153" s="21"/>
      <c r="AF153" s="21"/>
      <c r="AG153" s="27"/>
      <c r="AH153" s="306"/>
      <c r="AI153" s="299"/>
      <c r="AK153" s="301">
        <f t="shared" si="462"/>
        <v>-3</v>
      </c>
      <c r="AL153" s="301">
        <f t="shared" si="463"/>
        <v>0</v>
      </c>
      <c r="AM153" s="301"/>
      <c r="AN153" s="301"/>
      <c r="AO153" s="299"/>
      <c r="AP153" s="301">
        <f t="shared" ref="AP153:AP155" si="500">+S153</f>
        <v>-14.007000000000001</v>
      </c>
      <c r="AQ153" s="301"/>
      <c r="AT153" s="694">
        <f t="shared" si="473"/>
        <v>-3</v>
      </c>
    </row>
    <row r="154" spans="2:46" ht="20.100000000000001" customHeight="1" x14ac:dyDescent="0.3">
      <c r="B154" s="92"/>
      <c r="C154" s="95" t="s">
        <v>38</v>
      </c>
      <c r="D154" s="98">
        <v>0.66700000000000004</v>
      </c>
      <c r="E154" s="92">
        <v>1</v>
      </c>
      <c r="F154" s="92">
        <v>1</v>
      </c>
      <c r="G154" s="555">
        <f>(2.55)*3.281</f>
        <v>8.3665500000000002</v>
      </c>
      <c r="H154" s="98">
        <f>+D154</f>
        <v>0.66700000000000004</v>
      </c>
      <c r="I154" s="94">
        <v>2</v>
      </c>
      <c r="J154" s="99">
        <v>3</v>
      </c>
      <c r="K154" s="100">
        <f>+IF(D154=0.667,E154*F154*G154*H154*J154,0)</f>
        <v>16.741466549999998</v>
      </c>
      <c r="L154" s="100">
        <f>+IF(D154=0.333,E154*F154*G154*J154,0)</f>
        <v>0</v>
      </c>
      <c r="M154" s="99">
        <v>4</v>
      </c>
      <c r="N154" s="100">
        <f>+IF(D154=0.667,E154*F154*G154*H154*M154,0)</f>
        <v>22.3219554</v>
      </c>
      <c r="O154" s="100">
        <f>+IF(D154=0.333,E154*F154*G154*M154,0)</f>
        <v>0</v>
      </c>
      <c r="P154" s="27">
        <f t="shared" ref="P154:P155" si="501">11.833-I154-M154-J154</f>
        <v>2.8330000000000002</v>
      </c>
      <c r="Q154" s="100">
        <f>+IF(D154=0.667,E154*F154*G154*H154*P154,0)</f>
        <v>15.809524912050001</v>
      </c>
      <c r="R154" s="100">
        <f>+IF(D154=0.333,E154*F154*G154*P154,0)</f>
        <v>0</v>
      </c>
      <c r="S154" s="101">
        <f t="shared" si="491"/>
        <v>54.87294686205</v>
      </c>
      <c r="T154" s="101">
        <f t="shared" si="491"/>
        <v>0</v>
      </c>
      <c r="U154" s="92"/>
      <c r="V154" s="91"/>
      <c r="W154" s="102"/>
      <c r="X154" s="98"/>
      <c r="Y154" s="102"/>
      <c r="Z154" s="98"/>
      <c r="AA154" s="98"/>
      <c r="AB154" s="98"/>
      <c r="AC154" s="91"/>
      <c r="AD154" s="98"/>
      <c r="AE154" s="98"/>
      <c r="AF154" s="98"/>
      <c r="AG154" s="91"/>
      <c r="AH154" s="304">
        <v>1</v>
      </c>
      <c r="AI154" s="299">
        <f>+AH154*G154*D154*0.17</f>
        <v>0.94868310450000004</v>
      </c>
      <c r="AK154" s="301">
        <f t="shared" si="462"/>
        <v>8.3665500000000002</v>
      </c>
      <c r="AL154" s="301">
        <f t="shared" si="463"/>
        <v>0</v>
      </c>
      <c r="AM154" s="301"/>
      <c r="AN154" s="301"/>
      <c r="AO154" s="299"/>
      <c r="AP154" s="301">
        <f t="shared" si="500"/>
        <v>54.87294686205</v>
      </c>
      <c r="AQ154" s="301"/>
      <c r="AT154" s="694">
        <f t="shared" si="473"/>
        <v>8.3665500000000002</v>
      </c>
    </row>
    <row r="155" spans="2:46" ht="20.100000000000001" customHeight="1" x14ac:dyDescent="0.3">
      <c r="B155" s="92"/>
      <c r="C155" s="95" t="s">
        <v>32</v>
      </c>
      <c r="D155" s="98">
        <v>0.66700000000000004</v>
      </c>
      <c r="E155" s="92">
        <v>1</v>
      </c>
      <c r="F155" s="92">
        <v>1</v>
      </c>
      <c r="G155" s="555">
        <f>(2.14)*3.281</f>
        <v>7.0213400000000004</v>
      </c>
      <c r="H155" s="98">
        <f>+D155</f>
        <v>0.66700000000000004</v>
      </c>
      <c r="I155" s="94">
        <v>2</v>
      </c>
      <c r="J155" s="99">
        <v>3</v>
      </c>
      <c r="K155" s="100">
        <f>+IF(D155=0.667,E155*F155*G155*H155*J155,0)</f>
        <v>14.04970134</v>
      </c>
      <c r="L155" s="100">
        <f>+IF(D155=0.333,E155*F155*G155*J155,0)</f>
        <v>0</v>
      </c>
      <c r="M155" s="99">
        <v>4</v>
      </c>
      <c r="N155" s="100">
        <f>+IF(D155=0.667,E155*F155*G155*H155*M155,0)</f>
        <v>18.73293512</v>
      </c>
      <c r="O155" s="100">
        <f>+IF(D155=0.333,E155*F155*G155*M155,0)</f>
        <v>0</v>
      </c>
      <c r="P155" s="27">
        <f t="shared" si="501"/>
        <v>2.8330000000000002</v>
      </c>
      <c r="Q155" s="100">
        <f>+IF(D155=0.667,E155*F155*G155*H155*P155,0)</f>
        <v>13.267601298740001</v>
      </c>
      <c r="R155" s="100">
        <f>+IF(D155=0.333,E155*F155*G155*P155,0)</f>
        <v>0</v>
      </c>
      <c r="S155" s="101">
        <f t="shared" si="491"/>
        <v>46.050237758739996</v>
      </c>
      <c r="T155" s="101">
        <f t="shared" si="491"/>
        <v>0</v>
      </c>
      <c r="U155" s="92"/>
      <c r="V155" s="91"/>
      <c r="W155" s="102"/>
      <c r="X155" s="98"/>
      <c r="Y155" s="102"/>
      <c r="Z155" s="98"/>
      <c r="AA155" s="98"/>
      <c r="AB155" s="98"/>
      <c r="AC155" s="91"/>
      <c r="AD155" s="98"/>
      <c r="AE155" s="98"/>
      <c r="AF155" s="98"/>
      <c r="AG155" s="91"/>
      <c r="AH155" s="304">
        <v>1</v>
      </c>
      <c r="AI155" s="299">
        <f>+AH155*G155*D155*0.17</f>
        <v>0.79614974260000004</v>
      </c>
      <c r="AK155" s="301">
        <f t="shared" si="462"/>
        <v>7.0213400000000004</v>
      </c>
      <c r="AL155" s="301">
        <f t="shared" si="463"/>
        <v>0</v>
      </c>
      <c r="AM155" s="301"/>
      <c r="AN155" s="301"/>
      <c r="AO155" s="299"/>
      <c r="AP155" s="301">
        <f t="shared" si="500"/>
        <v>46.050237758739996</v>
      </c>
      <c r="AQ155" s="301"/>
      <c r="AT155" s="694">
        <f t="shared" si="473"/>
        <v>7.0213400000000004</v>
      </c>
    </row>
    <row r="156" spans="2:46" ht="20.100000000000001" customHeight="1" x14ac:dyDescent="0.3">
      <c r="B156" s="369"/>
      <c r="C156" s="370"/>
      <c r="D156" s="371"/>
      <c r="E156" s="369"/>
      <c r="F156" s="369"/>
      <c r="G156" s="371"/>
      <c r="H156" s="371"/>
      <c r="I156" s="372"/>
      <c r="J156" s="92"/>
      <c r="K156" s="92"/>
      <c r="L156" s="92"/>
      <c r="M156" s="92"/>
      <c r="N156" s="92"/>
      <c r="O156" s="92"/>
      <c r="P156" s="95"/>
      <c r="Q156" s="92"/>
      <c r="R156" s="92"/>
      <c r="S156" s="92"/>
      <c r="T156" s="92"/>
      <c r="U156" s="369"/>
      <c r="V156" s="373"/>
      <c r="W156" s="374"/>
      <c r="X156" s="371"/>
      <c r="Y156" s="374"/>
      <c r="Z156" s="371"/>
      <c r="AA156" s="371"/>
      <c r="AB156" s="371"/>
      <c r="AC156" s="373"/>
      <c r="AD156" s="371"/>
      <c r="AE156" s="371"/>
      <c r="AF156" s="371"/>
      <c r="AG156" s="373"/>
      <c r="AH156" s="375"/>
      <c r="AI156" s="374"/>
      <c r="AK156" s="301">
        <f t="shared" si="462"/>
        <v>0</v>
      </c>
      <c r="AL156" s="301">
        <f t="shared" si="463"/>
        <v>0</v>
      </c>
      <c r="AM156" s="378"/>
      <c r="AN156" s="378"/>
      <c r="AO156" s="374"/>
      <c r="AP156" s="378"/>
      <c r="AQ156" s="378"/>
      <c r="AT156" s="694">
        <f t="shared" si="473"/>
        <v>0</v>
      </c>
    </row>
    <row r="157" spans="2:46" ht="20.100000000000001" customHeight="1" x14ac:dyDescent="0.3">
      <c r="B157" s="92"/>
      <c r="C157" s="97" t="s">
        <v>332</v>
      </c>
      <c r="D157" s="98"/>
      <c r="E157" s="92"/>
      <c r="F157" s="92"/>
      <c r="G157" s="98"/>
      <c r="H157" s="98"/>
      <c r="I157" s="94"/>
      <c r="J157" s="92"/>
      <c r="K157" s="92"/>
      <c r="L157" s="92"/>
      <c r="M157" s="92"/>
      <c r="N157" s="92"/>
      <c r="O157" s="92"/>
      <c r="P157" s="95"/>
      <c r="Q157" s="92"/>
      <c r="R157" s="92"/>
      <c r="S157" s="92"/>
      <c r="T157" s="92"/>
      <c r="U157" s="92"/>
      <c r="V157" s="91"/>
      <c r="W157" s="102"/>
      <c r="X157" s="98"/>
      <c r="Y157" s="102"/>
      <c r="Z157" s="98"/>
      <c r="AA157" s="98"/>
      <c r="AB157" s="98"/>
      <c r="AC157" s="91"/>
      <c r="AD157" s="98"/>
      <c r="AE157" s="98"/>
      <c r="AF157" s="98"/>
      <c r="AG157" s="91"/>
      <c r="AH157" s="305"/>
      <c r="AI157" s="299"/>
      <c r="AK157" s="301">
        <f t="shared" si="462"/>
        <v>0</v>
      </c>
      <c r="AL157" s="301">
        <f t="shared" si="463"/>
        <v>0</v>
      </c>
      <c r="AM157" s="301"/>
      <c r="AN157" s="301">
        <f>+IF(D157=0.333,1.33,0)</f>
        <v>0</v>
      </c>
      <c r="AO157" s="299"/>
      <c r="AP157" s="301">
        <f t="shared" ref="AP157" si="502">+S157</f>
        <v>0</v>
      </c>
      <c r="AQ157" s="301"/>
      <c r="AT157" s="694">
        <f t="shared" si="473"/>
        <v>0</v>
      </c>
    </row>
    <row r="158" spans="2:46" ht="20.100000000000001" customHeight="1" x14ac:dyDescent="0.3">
      <c r="B158" s="92"/>
      <c r="C158" s="95" t="s">
        <v>33</v>
      </c>
      <c r="D158" s="98">
        <v>0.66700000000000004</v>
      </c>
      <c r="E158" s="92">
        <v>1</v>
      </c>
      <c r="F158" s="92">
        <v>1</v>
      </c>
      <c r="G158" s="555">
        <f>+(2.14*3.281)</f>
        <v>7.0213400000000004</v>
      </c>
      <c r="H158" s="98">
        <f>+D158</f>
        <v>0.66700000000000004</v>
      </c>
      <c r="I158" s="94">
        <v>2</v>
      </c>
      <c r="J158" s="99">
        <v>3</v>
      </c>
      <c r="K158" s="100">
        <f>+IF(D158=0.667,E158*F158*G158*H158*J158,0)</f>
        <v>14.04970134</v>
      </c>
      <c r="L158" s="100">
        <f>+IF(D158=0.333,E158*F158*G158*J158,0)</f>
        <v>0</v>
      </c>
      <c r="M158" s="99">
        <v>4</v>
      </c>
      <c r="N158" s="100">
        <f>+IF(D158=0.667,E158*F158*G158*H158*M158,0)</f>
        <v>18.73293512</v>
      </c>
      <c r="O158" s="100">
        <f>+IF(D158=0.333,E158*F158*G158*M158,0)</f>
        <v>0</v>
      </c>
      <c r="P158" s="27">
        <f>11.833-I158-M158-J158</f>
        <v>2.8330000000000002</v>
      </c>
      <c r="Q158" s="100">
        <f>+IF(D158=0.667,E158*F158*G158*H158*P158,0)</f>
        <v>13.267601298740001</v>
      </c>
      <c r="R158" s="100">
        <f>+IF(D158=0.333,E158*F158*G158*P158,0)</f>
        <v>0</v>
      </c>
      <c r="S158" s="101">
        <f t="shared" ref="S158:T161" si="503">+Q158+N158+K158</f>
        <v>46.050237758739996</v>
      </c>
      <c r="T158" s="101">
        <f t="shared" si="503"/>
        <v>0</v>
      </c>
      <c r="U158" s="92"/>
      <c r="V158" s="91"/>
      <c r="W158" s="102"/>
      <c r="X158" s="98"/>
      <c r="Y158" s="102"/>
      <c r="Z158" s="98"/>
      <c r="AA158" s="98"/>
      <c r="AB158" s="98"/>
      <c r="AC158" s="91"/>
      <c r="AD158" s="98"/>
      <c r="AE158" s="98"/>
      <c r="AF158" s="98"/>
      <c r="AG158" s="91"/>
      <c r="AH158" s="305">
        <v>1</v>
      </c>
      <c r="AI158" s="299">
        <f>+AH158*G158*D158*0.17</f>
        <v>0.79614974260000004</v>
      </c>
      <c r="AK158" s="301">
        <f t="shared" si="462"/>
        <v>7.0213400000000004</v>
      </c>
      <c r="AL158" s="301">
        <f t="shared" si="463"/>
        <v>0</v>
      </c>
      <c r="AM158" s="301"/>
      <c r="AN158" s="301">
        <f>+IF(D158=0.333,1.33,0)</f>
        <v>0</v>
      </c>
      <c r="AO158" s="299"/>
      <c r="AP158" s="301">
        <f>+S158</f>
        <v>46.050237758739996</v>
      </c>
      <c r="AQ158" s="301"/>
      <c r="AT158" s="694">
        <f t="shared" si="473"/>
        <v>7.0213400000000004</v>
      </c>
    </row>
    <row r="159" spans="2:46" ht="20.100000000000001" customHeight="1" x14ac:dyDescent="0.3">
      <c r="B159" s="18"/>
      <c r="C159" s="62" t="s">
        <v>130</v>
      </c>
      <c r="D159" s="98">
        <v>0.66700000000000004</v>
      </c>
      <c r="E159" s="18">
        <v>-1</v>
      </c>
      <c r="F159" s="18">
        <v>1</v>
      </c>
      <c r="G159" s="556">
        <v>3</v>
      </c>
      <c r="H159" s="20">
        <f t="shared" ref="H159" si="504">+D159</f>
        <v>0.66700000000000004</v>
      </c>
      <c r="I159" s="21"/>
      <c r="J159" s="22">
        <v>3</v>
      </c>
      <c r="K159" s="103">
        <f t="shared" ref="K159" si="505">+IF(D159=0.667,E159*F159*G159*H159*J159,0)</f>
        <v>-6.003000000000001</v>
      </c>
      <c r="L159" s="103">
        <f t="shared" ref="L159" si="506">+IF(D159=0.333,E159*F159*G159*J159,0)</f>
        <v>0</v>
      </c>
      <c r="M159" s="81">
        <v>4</v>
      </c>
      <c r="N159" s="103">
        <f t="shared" ref="N159" si="507">+IF(D159=0.667,E159*F159*G159*H159*M159,0)</f>
        <v>-8.0040000000000013</v>
      </c>
      <c r="O159" s="103">
        <f t="shared" ref="O159" si="508">+IF(D159=0.333,E159*F159*G159*M159,0)</f>
        <v>0</v>
      </c>
      <c r="P159" s="27"/>
      <c r="Q159" s="103">
        <f t="shared" ref="Q159" si="509">+IF(D159=0.667,E159*F159*G159*H159*P159,0)</f>
        <v>0</v>
      </c>
      <c r="R159" s="103">
        <f t="shared" ref="R159" si="510">+IF(D159=0.333,E159*F159*G159*P159,0)</f>
        <v>0</v>
      </c>
      <c r="S159" s="104">
        <f t="shared" si="503"/>
        <v>-14.007000000000001</v>
      </c>
      <c r="T159" s="104">
        <f t="shared" si="503"/>
        <v>0</v>
      </c>
      <c r="U159" s="18"/>
      <c r="V159" s="26"/>
      <c r="W159" s="21">
        <f>+G159+D159</f>
        <v>3.6669999999999998</v>
      </c>
      <c r="X159" s="21">
        <v>0.5</v>
      </c>
      <c r="Y159" s="21">
        <f>+IF(D159=0.667,-E159*F159*H159*W159*X159,0)</f>
        <v>1.2229445000000001</v>
      </c>
      <c r="Z159" s="21">
        <f>+IF(D159=0.333,-E159*F159*H159*W159*X159,0)</f>
        <v>0</v>
      </c>
      <c r="AA159" s="21">
        <f>+F159*G159*H159</f>
        <v>2.0010000000000003</v>
      </c>
      <c r="AB159" s="21">
        <f t="shared" ref="AB159" si="511">2*F159*W159*X159</f>
        <v>3.6669999999999998</v>
      </c>
      <c r="AC159" s="27"/>
      <c r="AD159" s="21"/>
      <c r="AE159" s="21"/>
      <c r="AF159" s="21"/>
      <c r="AG159" s="27"/>
      <c r="AH159" s="306"/>
      <c r="AI159" s="299"/>
      <c r="AK159" s="301">
        <f t="shared" si="462"/>
        <v>-3</v>
      </c>
      <c r="AL159" s="301">
        <f t="shared" si="463"/>
        <v>0</v>
      </c>
      <c r="AM159" s="301"/>
      <c r="AN159" s="301"/>
      <c r="AO159" s="299"/>
      <c r="AP159" s="301">
        <f t="shared" ref="AP159:AP161" si="512">+S159</f>
        <v>-14.007000000000001</v>
      </c>
      <c r="AQ159" s="301"/>
      <c r="AT159" s="694">
        <f t="shared" si="473"/>
        <v>-3</v>
      </c>
    </row>
    <row r="160" spans="2:46" ht="20.100000000000001" customHeight="1" x14ac:dyDescent="0.3">
      <c r="B160" s="92"/>
      <c r="C160" s="95" t="s">
        <v>38</v>
      </c>
      <c r="D160" s="98">
        <v>0.66700000000000004</v>
      </c>
      <c r="E160" s="92">
        <v>1</v>
      </c>
      <c r="F160" s="92">
        <v>1</v>
      </c>
      <c r="G160" s="555">
        <f>(2.55)*3.281</f>
        <v>8.3665500000000002</v>
      </c>
      <c r="H160" s="98">
        <f>+D160</f>
        <v>0.66700000000000004</v>
      </c>
      <c r="I160" s="94">
        <v>2</v>
      </c>
      <c r="J160" s="99">
        <v>3</v>
      </c>
      <c r="K160" s="100">
        <f>+IF(D160=0.667,E160*F160*G160*H160*J160,0)</f>
        <v>16.741466549999998</v>
      </c>
      <c r="L160" s="100">
        <f>+IF(D160=0.333,E160*F160*G160*J160,0)</f>
        <v>0</v>
      </c>
      <c r="M160" s="99">
        <v>4</v>
      </c>
      <c r="N160" s="100">
        <f>+IF(D160=0.667,E160*F160*G160*H160*M160,0)</f>
        <v>22.3219554</v>
      </c>
      <c r="O160" s="100">
        <f>+IF(D160=0.333,E160*F160*G160*M160,0)</f>
        <v>0</v>
      </c>
      <c r="P160" s="27">
        <f t="shared" ref="P160:P161" si="513">11.833-I160-M160-J160</f>
        <v>2.8330000000000002</v>
      </c>
      <c r="Q160" s="100">
        <f>+IF(D160=0.667,E160*F160*G160*H160*P160,0)</f>
        <v>15.809524912050001</v>
      </c>
      <c r="R160" s="100">
        <f>+IF(D160=0.333,E160*F160*G160*P160,0)</f>
        <v>0</v>
      </c>
      <c r="S160" s="101">
        <f t="shared" si="503"/>
        <v>54.87294686205</v>
      </c>
      <c r="T160" s="101">
        <f t="shared" si="503"/>
        <v>0</v>
      </c>
      <c r="U160" s="92"/>
      <c r="V160" s="91"/>
      <c r="W160" s="102"/>
      <c r="X160" s="98"/>
      <c r="Y160" s="102"/>
      <c r="Z160" s="98"/>
      <c r="AA160" s="98"/>
      <c r="AB160" s="98"/>
      <c r="AC160" s="91"/>
      <c r="AD160" s="98"/>
      <c r="AE160" s="98"/>
      <c r="AF160" s="98"/>
      <c r="AG160" s="91"/>
      <c r="AH160" s="304">
        <v>1</v>
      </c>
      <c r="AI160" s="299">
        <f>+AH160*G160*D160*0.17</f>
        <v>0.94868310450000004</v>
      </c>
      <c r="AK160" s="301">
        <f t="shared" si="462"/>
        <v>8.3665500000000002</v>
      </c>
      <c r="AL160" s="301">
        <f t="shared" si="463"/>
        <v>0</v>
      </c>
      <c r="AM160" s="301"/>
      <c r="AN160" s="301"/>
      <c r="AO160" s="299"/>
      <c r="AP160" s="301">
        <f t="shared" si="512"/>
        <v>54.87294686205</v>
      </c>
      <c r="AQ160" s="301"/>
      <c r="AT160" s="694">
        <f t="shared" si="473"/>
        <v>8.3665500000000002</v>
      </c>
    </row>
    <row r="161" spans="2:46" ht="20.100000000000001" customHeight="1" x14ac:dyDescent="0.3">
      <c r="B161" s="92"/>
      <c r="C161" s="95" t="s">
        <v>32</v>
      </c>
      <c r="D161" s="98">
        <v>0.66700000000000004</v>
      </c>
      <c r="E161" s="92">
        <v>1</v>
      </c>
      <c r="F161" s="92">
        <v>1</v>
      </c>
      <c r="G161" s="555">
        <f>(2.14)*3.281</f>
        <v>7.0213400000000004</v>
      </c>
      <c r="H161" s="98">
        <f>+D161</f>
        <v>0.66700000000000004</v>
      </c>
      <c r="I161" s="94">
        <v>2</v>
      </c>
      <c r="J161" s="99">
        <v>3</v>
      </c>
      <c r="K161" s="100">
        <f>+IF(D161=0.667,E161*F161*G161*H161*J161,0)</f>
        <v>14.04970134</v>
      </c>
      <c r="L161" s="100">
        <f>+IF(D161=0.333,E161*F161*G161*J161,0)</f>
        <v>0</v>
      </c>
      <c r="M161" s="99">
        <v>4</v>
      </c>
      <c r="N161" s="100">
        <f>+IF(D161=0.667,E161*F161*G161*H161*M161,0)</f>
        <v>18.73293512</v>
      </c>
      <c r="O161" s="100">
        <f>+IF(D161=0.333,E161*F161*G161*M161,0)</f>
        <v>0</v>
      </c>
      <c r="P161" s="27">
        <f t="shared" si="513"/>
        <v>2.8330000000000002</v>
      </c>
      <c r="Q161" s="100">
        <f>+IF(D161=0.667,E161*F161*G161*H161*P161,0)</f>
        <v>13.267601298740001</v>
      </c>
      <c r="R161" s="100">
        <f>+IF(D161=0.333,E161*F161*G161*P161,0)</f>
        <v>0</v>
      </c>
      <c r="S161" s="101">
        <f t="shared" si="503"/>
        <v>46.050237758739996</v>
      </c>
      <c r="T161" s="101">
        <f t="shared" si="503"/>
        <v>0</v>
      </c>
      <c r="U161" s="92"/>
      <c r="V161" s="91"/>
      <c r="W161" s="102"/>
      <c r="X161" s="98"/>
      <c r="Y161" s="102"/>
      <c r="Z161" s="98"/>
      <c r="AA161" s="98"/>
      <c r="AB161" s="98"/>
      <c r="AC161" s="91"/>
      <c r="AD161" s="98"/>
      <c r="AE161" s="98"/>
      <c r="AF161" s="98"/>
      <c r="AG161" s="91"/>
      <c r="AH161" s="304">
        <v>1</v>
      </c>
      <c r="AI161" s="299">
        <f>+AH161*G161*D161*0.17</f>
        <v>0.79614974260000004</v>
      </c>
      <c r="AK161" s="301">
        <f t="shared" si="462"/>
        <v>7.0213400000000004</v>
      </c>
      <c r="AL161" s="301">
        <f t="shared" si="463"/>
        <v>0</v>
      </c>
      <c r="AM161" s="301"/>
      <c r="AN161" s="301"/>
      <c r="AO161" s="299"/>
      <c r="AP161" s="301">
        <f t="shared" si="512"/>
        <v>46.050237758739996</v>
      </c>
      <c r="AQ161" s="301"/>
      <c r="AT161" s="694">
        <f t="shared" si="473"/>
        <v>7.0213400000000004</v>
      </c>
    </row>
    <row r="162" spans="2:46" ht="20.100000000000001" customHeight="1" x14ac:dyDescent="0.3">
      <c r="B162" s="369"/>
      <c r="C162" s="370"/>
      <c r="D162" s="371"/>
      <c r="E162" s="369"/>
      <c r="F162" s="369"/>
      <c r="G162" s="371"/>
      <c r="H162" s="371"/>
      <c r="I162" s="374"/>
      <c r="J162" s="397"/>
      <c r="K162" s="398"/>
      <c r="L162" s="398"/>
      <c r="M162" s="397"/>
      <c r="N162" s="398"/>
      <c r="O162" s="398"/>
      <c r="P162" s="400"/>
      <c r="Q162" s="398"/>
      <c r="R162" s="398"/>
      <c r="S162" s="399"/>
      <c r="T162" s="399"/>
      <c r="U162" s="369"/>
      <c r="V162" s="373"/>
      <c r="W162" s="374"/>
      <c r="X162" s="374"/>
      <c r="Y162" s="374"/>
      <c r="Z162" s="374"/>
      <c r="AA162" s="374"/>
      <c r="AB162" s="374"/>
      <c r="AC162" s="400"/>
      <c r="AD162" s="374"/>
      <c r="AE162" s="374"/>
      <c r="AF162" s="374"/>
      <c r="AG162" s="400"/>
      <c r="AH162" s="401"/>
      <c r="AI162" s="374"/>
      <c r="AK162" s="378"/>
      <c r="AL162" s="378"/>
      <c r="AM162" s="378"/>
      <c r="AN162" s="378"/>
      <c r="AO162" s="374"/>
      <c r="AP162" s="378"/>
      <c r="AQ162" s="378"/>
      <c r="AT162" s="694">
        <f t="shared" si="473"/>
        <v>0</v>
      </c>
    </row>
    <row r="163" spans="2:46" ht="20.100000000000001" customHeight="1" x14ac:dyDescent="0.3">
      <c r="B163" s="92"/>
      <c r="C163" s="97" t="s">
        <v>384</v>
      </c>
      <c r="D163" s="92"/>
      <c r="E163" s="92"/>
      <c r="F163" s="92"/>
      <c r="G163" s="92"/>
      <c r="H163" s="92"/>
      <c r="I163" s="94"/>
      <c r="J163" s="92"/>
      <c r="K163" s="92"/>
      <c r="L163" s="92"/>
      <c r="M163" s="92"/>
      <c r="N163" s="92"/>
      <c r="O163" s="92"/>
      <c r="P163" s="95"/>
      <c r="Q163" s="92"/>
      <c r="R163" s="92"/>
      <c r="S163" s="92"/>
      <c r="T163" s="92"/>
      <c r="U163" s="92"/>
      <c r="V163" s="95"/>
      <c r="W163" s="92"/>
      <c r="X163" s="92"/>
      <c r="Y163" s="92"/>
      <c r="Z163" s="92"/>
      <c r="AA163" s="92"/>
      <c r="AB163" s="92"/>
      <c r="AC163" s="95"/>
      <c r="AD163" s="92"/>
      <c r="AE163" s="92"/>
      <c r="AF163" s="92"/>
      <c r="AG163" s="95"/>
      <c r="AH163" s="304"/>
      <c r="AI163" s="301"/>
      <c r="AK163" s="301"/>
      <c r="AL163" s="301"/>
      <c r="AM163" s="301"/>
      <c r="AN163" s="301"/>
      <c r="AO163" s="299"/>
      <c r="AP163" s="301"/>
      <c r="AQ163" s="301"/>
      <c r="AT163" s="694">
        <f t="shared" si="473"/>
        <v>0</v>
      </c>
    </row>
    <row r="164" spans="2:46" ht="20.100000000000001" customHeight="1" x14ac:dyDescent="0.3">
      <c r="B164" s="92"/>
      <c r="C164" s="95" t="s">
        <v>33</v>
      </c>
      <c r="D164" s="98">
        <v>0.66700000000000004</v>
      </c>
      <c r="E164" s="92">
        <v>1</v>
      </c>
      <c r="F164" s="92">
        <v>1</v>
      </c>
      <c r="G164" s="555">
        <f>(5.213+7.717+7.714+7.701+8.2+6.115+5.433)*3.281</f>
        <v>157.79313300000001</v>
      </c>
      <c r="H164" s="98">
        <f>+D164</f>
        <v>0.66700000000000004</v>
      </c>
      <c r="I164" s="94">
        <v>2</v>
      </c>
      <c r="J164" s="99">
        <v>3</v>
      </c>
      <c r="K164" s="100">
        <f>+IF(D164=0.667,E164*F164*G164*H164*J164,0)</f>
        <v>315.74405913300006</v>
      </c>
      <c r="L164" s="100">
        <f>+IF(D164=0.333,E164*F164*G164*J164,0)</f>
        <v>0</v>
      </c>
      <c r="M164" s="99">
        <v>4</v>
      </c>
      <c r="N164" s="100">
        <f>+IF(D164=0.667,E164*F164*G164*H164*M164,0)</f>
        <v>420.99207884400005</v>
      </c>
      <c r="O164" s="100">
        <f>+IF(D164=0.333,E164*F164*G164*M164,0)</f>
        <v>0</v>
      </c>
      <c r="P164" s="27">
        <f>11.833-I164-M164-J164</f>
        <v>2.8330000000000002</v>
      </c>
      <c r="Q164" s="100">
        <f>+IF(D164=0.667,E164*F164*G164*H164*P164,0)</f>
        <v>298.16763984126305</v>
      </c>
      <c r="R164" s="100">
        <f>+IF(D164=0.333,E164*F164*G164*P164,0)</f>
        <v>0</v>
      </c>
      <c r="S164" s="101">
        <f t="shared" ref="S164:T170" si="514">+Q164+N164+K164</f>
        <v>1034.9037778182633</v>
      </c>
      <c r="T164" s="101">
        <f t="shared" si="514"/>
        <v>0</v>
      </c>
      <c r="U164" s="92"/>
      <c r="V164" s="91"/>
      <c r="W164" s="102"/>
      <c r="X164" s="98"/>
      <c r="Y164" s="102"/>
      <c r="Z164" s="98"/>
      <c r="AA164" s="98"/>
      <c r="AB164" s="98"/>
      <c r="AC164" s="91"/>
      <c r="AD164" s="98"/>
      <c r="AE164" s="98"/>
      <c r="AF164" s="98"/>
      <c r="AG164" s="91"/>
      <c r="AH164" s="305">
        <v>1</v>
      </c>
      <c r="AI164" s="299">
        <f>+AH164*G164*D164*0.17</f>
        <v>17.892163350870003</v>
      </c>
      <c r="AK164" s="301">
        <f t="shared" ref="AK164:AK165" si="515">+IF(D164=0.667,E164*F164*G164,0)</f>
        <v>157.79313300000001</v>
      </c>
      <c r="AL164" s="301">
        <f t="shared" ref="AL164:AL170" si="516">+IF(D164=0.333,E164*F164*G164,0)</f>
        <v>0</v>
      </c>
      <c r="AM164" s="301"/>
      <c r="AN164" s="301">
        <f>+IF(D164=0.333,1.33,0)</f>
        <v>0</v>
      </c>
      <c r="AO164" s="299"/>
      <c r="AP164" s="301"/>
      <c r="AQ164" s="301"/>
      <c r="AT164" s="694">
        <f t="shared" si="473"/>
        <v>157.79313300000001</v>
      </c>
    </row>
    <row r="165" spans="2:46" s="412" customFormat="1" ht="20.100000000000001" customHeight="1" x14ac:dyDescent="0.3">
      <c r="B165" s="402"/>
      <c r="C165" s="403" t="s">
        <v>355</v>
      </c>
      <c r="D165" s="416">
        <v>0.66700000000000004</v>
      </c>
      <c r="E165" s="402">
        <v>-1</v>
      </c>
      <c r="F165" s="402">
        <v>1</v>
      </c>
      <c r="G165" s="555">
        <f>(3.862*0+2.919*0+2.92*0+3.046+3.059+3.044)*3.281</f>
        <v>30.017869000000005</v>
      </c>
      <c r="H165" s="404">
        <f t="shared" ref="H165:H166" si="517">+D165</f>
        <v>0.66700000000000004</v>
      </c>
      <c r="I165" s="94">
        <v>2</v>
      </c>
      <c r="J165" s="417">
        <v>3</v>
      </c>
      <c r="K165" s="407">
        <f t="shared" ref="K165:K166" si="518">+IF(D165=0.667,E165*F165*G165*H165*J165,0)</f>
        <v>-60.065755869000014</v>
      </c>
      <c r="L165" s="407">
        <f t="shared" ref="L165:L166" si="519">+IF(D165=0.333,E165*F165*G165*J165,0)</f>
        <v>0</v>
      </c>
      <c r="M165" s="406">
        <v>4</v>
      </c>
      <c r="N165" s="407">
        <f t="shared" ref="N165:N166" si="520">+IF(D165=0.667,E165*F165*G165*H165*M165,0)</f>
        <v>-80.087674492000019</v>
      </c>
      <c r="O165" s="407">
        <f t="shared" ref="O165:O166" si="521">+IF(D165=0.333,E165*F165*G165*M165,0)</f>
        <v>0</v>
      </c>
      <c r="P165" s="410">
        <f>11.833-I165-M165-J165</f>
        <v>2.8330000000000002</v>
      </c>
      <c r="Q165" s="407">
        <f t="shared" ref="Q165:Q166" si="522">+IF(D165=0.667,E165*F165*G165*H165*P165,0)</f>
        <v>-56.722095458959018</v>
      </c>
      <c r="R165" s="407">
        <f t="shared" ref="R165:R166" si="523">+IF(D165=0.333,E165*F165*G165*P165,0)</f>
        <v>0</v>
      </c>
      <c r="S165" s="408">
        <f t="shared" si="514"/>
        <v>-196.87552581995905</v>
      </c>
      <c r="T165" s="408">
        <f t="shared" si="514"/>
        <v>0</v>
      </c>
      <c r="U165" s="402"/>
      <c r="V165" s="409"/>
      <c r="W165" s="405">
        <f>+G165+D165</f>
        <v>30.684869000000006</v>
      </c>
      <c r="X165" s="405">
        <v>0.5</v>
      </c>
      <c r="Y165" s="405">
        <f>+IF(D165=0.667,-E165*F165*H165*W165*X165,0)</f>
        <v>10.233403811500002</v>
      </c>
      <c r="Z165" s="405">
        <f>+IF(D165=0.333,-E165*F165*H165*W165*X165,0)</f>
        <v>0</v>
      </c>
      <c r="AA165" s="405">
        <f>+F165*G165*H165</f>
        <v>20.021918623000005</v>
      </c>
      <c r="AB165" s="405">
        <f t="shared" ref="AB165:AB166" si="524">2*F165*W165*X165</f>
        <v>30.684869000000006</v>
      </c>
      <c r="AC165" s="410"/>
      <c r="AD165" s="405"/>
      <c r="AE165" s="405"/>
      <c r="AF165" s="405"/>
      <c r="AG165" s="410"/>
      <c r="AH165" s="418"/>
      <c r="AI165" s="414"/>
      <c r="AK165" s="413">
        <f t="shared" si="515"/>
        <v>-30.017869000000005</v>
      </c>
      <c r="AL165" s="413">
        <f t="shared" si="516"/>
        <v>0</v>
      </c>
      <c r="AM165" s="413"/>
      <c r="AN165" s="413"/>
      <c r="AO165" s="414"/>
      <c r="AP165" s="413"/>
      <c r="AQ165" s="413"/>
      <c r="AT165" s="694">
        <f t="shared" si="473"/>
        <v>-30.017869000000005</v>
      </c>
    </row>
    <row r="166" spans="2:46" ht="20.100000000000001" customHeight="1" x14ac:dyDescent="0.3">
      <c r="B166" s="92"/>
      <c r="C166" s="95" t="s">
        <v>347</v>
      </c>
      <c r="D166" s="98">
        <v>0.66700000000000004</v>
      </c>
      <c r="E166" s="92">
        <v>-1</v>
      </c>
      <c r="F166" s="92">
        <v>8</v>
      </c>
      <c r="G166" s="555">
        <v>6</v>
      </c>
      <c r="H166" s="98">
        <f t="shared" si="517"/>
        <v>0.66700000000000004</v>
      </c>
      <c r="I166" s="94"/>
      <c r="J166" s="99"/>
      <c r="K166" s="100">
        <f t="shared" si="518"/>
        <v>0</v>
      </c>
      <c r="L166" s="100">
        <f t="shared" si="519"/>
        <v>0</v>
      </c>
      <c r="M166" s="99">
        <v>4</v>
      </c>
      <c r="N166" s="100">
        <f t="shared" si="520"/>
        <v>-128.06400000000002</v>
      </c>
      <c r="O166" s="100">
        <f t="shared" si="521"/>
        <v>0</v>
      </c>
      <c r="P166" s="27">
        <v>0</v>
      </c>
      <c r="Q166" s="100">
        <f t="shared" si="522"/>
        <v>0</v>
      </c>
      <c r="R166" s="100">
        <f t="shared" si="523"/>
        <v>0</v>
      </c>
      <c r="S166" s="101">
        <f t="shared" si="514"/>
        <v>-128.06400000000002</v>
      </c>
      <c r="T166" s="101">
        <f t="shared" si="514"/>
        <v>0</v>
      </c>
      <c r="U166" s="92"/>
      <c r="V166" s="91"/>
      <c r="W166" s="102">
        <f>+G166+D166</f>
        <v>6.6669999999999998</v>
      </c>
      <c r="X166" s="98">
        <v>0.5</v>
      </c>
      <c r="Y166" s="102">
        <f>+IF(D166=0.667,-E166*F166*H166*W166*X166,0)</f>
        <v>17.787556000000002</v>
      </c>
      <c r="Z166" s="98">
        <f>+IF(D166=0.333,-E166*F166*H166*W166*X166,0)</f>
        <v>0</v>
      </c>
      <c r="AA166" s="98">
        <f>+F166*G166*H166</f>
        <v>32.016000000000005</v>
      </c>
      <c r="AB166" s="98">
        <f t="shared" si="524"/>
        <v>53.335999999999999</v>
      </c>
      <c r="AC166" s="91"/>
      <c r="AD166" s="98">
        <v>0.16700000000000001</v>
      </c>
      <c r="AE166" s="98">
        <f t="shared" ref="AE166" si="525">+IF(D166=0.667,AD166*W166*H166*F166,0)</f>
        <v>5.9410437040000001</v>
      </c>
      <c r="AF166" s="98">
        <f t="shared" ref="AF166" si="526">+IF(D166=0.333,AD166*W166*H166*F166,0)</f>
        <v>0</v>
      </c>
      <c r="AG166" s="91"/>
      <c r="AH166" s="305"/>
      <c r="AI166" s="299">
        <f t="shared" ref="AI166" si="527">+AH166*G166*D166*0.17</f>
        <v>0</v>
      </c>
      <c r="AK166" s="301"/>
      <c r="AL166" s="301">
        <f t="shared" si="516"/>
        <v>0</v>
      </c>
      <c r="AM166" s="301"/>
      <c r="AN166" s="301"/>
      <c r="AO166" s="299"/>
      <c r="AP166" s="301"/>
      <c r="AQ166" s="301"/>
      <c r="AT166" s="694">
        <f t="shared" si="473"/>
        <v>-48</v>
      </c>
    </row>
    <row r="167" spans="2:46" ht="20.100000000000001" customHeight="1" x14ac:dyDescent="0.3">
      <c r="B167" s="92"/>
      <c r="C167" s="95" t="s">
        <v>358</v>
      </c>
      <c r="D167" s="98">
        <v>0.66700000000000004</v>
      </c>
      <c r="E167" s="92">
        <v>1</v>
      </c>
      <c r="F167" s="92">
        <v>1</v>
      </c>
      <c r="G167" s="555">
        <f>(5.549+3.698)*3.281</f>
        <v>30.339407000000001</v>
      </c>
      <c r="H167" s="98">
        <f>+D167</f>
        <v>0.66700000000000004</v>
      </c>
      <c r="I167" s="94">
        <v>2</v>
      </c>
      <c r="J167" s="99">
        <v>3</v>
      </c>
      <c r="K167" s="100">
        <f>+IF(D167=0.667,E167*F167*G167*H167*J167,0)</f>
        <v>60.709153407000002</v>
      </c>
      <c r="L167" s="100">
        <f>+IF(D167=0.333,E167*F167*G167*J167,0)</f>
        <v>0</v>
      </c>
      <c r="M167" s="99">
        <v>4</v>
      </c>
      <c r="N167" s="100">
        <f>+IF(D167=0.667,E167*F167*G167*H167*M167,0)</f>
        <v>80.945537876000003</v>
      </c>
      <c r="O167" s="100">
        <f>+IF(D167=0.333,E167*F167*G167*M167,0)</f>
        <v>0</v>
      </c>
      <c r="P167" s="27">
        <f t="shared" ref="P167:P168" si="528">11.833-I167-M167-J167</f>
        <v>2.8330000000000002</v>
      </c>
      <c r="Q167" s="100">
        <f>+IF(D167=0.667,E167*F167*G167*H167*P167,0)</f>
        <v>57.329677200677004</v>
      </c>
      <c r="R167" s="100">
        <f>+IF(D167=0.333,E167*F167*G167*P167,0)</f>
        <v>0</v>
      </c>
      <c r="S167" s="101">
        <f t="shared" si="514"/>
        <v>198.984368483677</v>
      </c>
      <c r="T167" s="101">
        <f t="shared" si="514"/>
        <v>0</v>
      </c>
      <c r="U167" s="92"/>
      <c r="V167" s="91"/>
      <c r="W167" s="102"/>
      <c r="X167" s="98"/>
      <c r="Y167" s="102"/>
      <c r="Z167" s="98"/>
      <c r="AA167" s="98"/>
      <c r="AB167" s="98"/>
      <c r="AC167" s="91"/>
      <c r="AD167" s="98"/>
      <c r="AE167" s="98"/>
      <c r="AF167" s="98"/>
      <c r="AG167" s="91"/>
      <c r="AH167" s="305">
        <v>1</v>
      </c>
      <c r="AI167" s="299">
        <f>+AH167*G167*D167*0.17</f>
        <v>3.4401853597300005</v>
      </c>
      <c r="AK167" s="301">
        <f t="shared" ref="AK167:AK168" si="529">+IF(D167=0.667,E167*F167*G167,0)</f>
        <v>30.339407000000001</v>
      </c>
      <c r="AL167" s="301">
        <f t="shared" si="516"/>
        <v>0</v>
      </c>
      <c r="AM167" s="301"/>
      <c r="AN167" s="301">
        <f>+IF(D167=0.333,1.33,0)</f>
        <v>0</v>
      </c>
      <c r="AO167" s="299"/>
      <c r="AP167" s="301"/>
      <c r="AQ167" s="301"/>
      <c r="AT167" s="694">
        <f t="shared" si="473"/>
        <v>30.339407000000001</v>
      </c>
    </row>
    <row r="168" spans="2:46" ht="20.100000000000001" customHeight="1" x14ac:dyDescent="0.3">
      <c r="B168" s="92"/>
      <c r="C168" s="95" t="s">
        <v>32</v>
      </c>
      <c r="D168" s="98">
        <v>0.66700000000000004</v>
      </c>
      <c r="E168" s="92">
        <v>1</v>
      </c>
      <c r="F168" s="92">
        <v>1</v>
      </c>
      <c r="G168" s="555">
        <f>(7.972+5.765+3.384+5.548+6.818+3.547)*3.281</f>
        <v>108.38455399999998</v>
      </c>
      <c r="H168" s="98">
        <f>+D168</f>
        <v>0.66700000000000004</v>
      </c>
      <c r="I168" s="94">
        <v>2</v>
      </c>
      <c r="J168" s="99">
        <v>3</v>
      </c>
      <c r="K168" s="100">
        <f>+IF(D168=0.667,E168*F168*G168*H168*J168,0)</f>
        <v>216.87749255399996</v>
      </c>
      <c r="L168" s="100">
        <f>+IF(D168=0.333,E168*F168*G168*J168,0)</f>
        <v>0</v>
      </c>
      <c r="M168" s="99">
        <v>4</v>
      </c>
      <c r="N168" s="100">
        <f>+IF(D168=0.667,E168*F168*G168*H168*M168,0)</f>
        <v>289.16999007199996</v>
      </c>
      <c r="O168" s="100">
        <f>+IF(D168=0.333,E168*F168*G168*M168,0)</f>
        <v>0</v>
      </c>
      <c r="P168" s="27">
        <f t="shared" si="528"/>
        <v>2.8330000000000002</v>
      </c>
      <c r="Q168" s="100">
        <f>+IF(D168=0.667,E168*F168*G168*H168*P168,0)</f>
        <v>204.80464546849399</v>
      </c>
      <c r="R168" s="100">
        <f>+IF(D168=0.333,E168*F168*G168*P168,0)</f>
        <v>0</v>
      </c>
      <c r="S168" s="101">
        <f t="shared" si="514"/>
        <v>710.85212809449399</v>
      </c>
      <c r="T168" s="101">
        <f t="shared" si="514"/>
        <v>0</v>
      </c>
      <c r="U168" s="92"/>
      <c r="V168" s="91"/>
      <c r="W168" s="102"/>
      <c r="X168" s="98"/>
      <c r="Y168" s="102"/>
      <c r="Z168" s="98"/>
      <c r="AA168" s="98"/>
      <c r="AB168" s="98"/>
      <c r="AC168" s="91"/>
      <c r="AD168" s="98"/>
      <c r="AE168" s="98"/>
      <c r="AF168" s="98"/>
      <c r="AG168" s="91"/>
      <c r="AH168" s="305">
        <v>1</v>
      </c>
      <c r="AI168" s="299">
        <f>+AH168*G168*D168*0.17</f>
        <v>12.28972457806</v>
      </c>
      <c r="AK168" s="301">
        <f t="shared" si="529"/>
        <v>108.38455399999998</v>
      </c>
      <c r="AL168" s="301">
        <f t="shared" si="516"/>
        <v>0</v>
      </c>
      <c r="AM168" s="301"/>
      <c r="AN168" s="301">
        <f>+IF(D168=0.333,1.33,0)</f>
        <v>0</v>
      </c>
      <c r="AO168" s="299"/>
      <c r="AP168" s="301"/>
      <c r="AQ168" s="301"/>
      <c r="AT168" s="694">
        <f t="shared" si="473"/>
        <v>108.38455399999998</v>
      </c>
    </row>
    <row r="169" spans="2:46" ht="20.100000000000001" customHeight="1" x14ac:dyDescent="0.3">
      <c r="B169" s="92"/>
      <c r="C169" s="95" t="s">
        <v>347</v>
      </c>
      <c r="D169" s="98">
        <v>0.66700000000000004</v>
      </c>
      <c r="E169" s="92">
        <v>-1</v>
      </c>
      <c r="F169" s="92">
        <v>3</v>
      </c>
      <c r="G169" s="555">
        <v>6</v>
      </c>
      <c r="H169" s="98">
        <f t="shared" ref="H169" si="530">+D169</f>
        <v>0.66700000000000004</v>
      </c>
      <c r="I169" s="94"/>
      <c r="J169" s="99"/>
      <c r="K169" s="100">
        <f t="shared" ref="K169" si="531">+IF(D169=0.667,E169*F169*G169*H169*J169,0)</f>
        <v>0</v>
      </c>
      <c r="L169" s="100">
        <f t="shared" ref="L169" si="532">+IF(D169=0.333,E169*F169*G169*J169,0)</f>
        <v>0</v>
      </c>
      <c r="M169" s="99">
        <v>4</v>
      </c>
      <c r="N169" s="100">
        <f t="shared" ref="N169" si="533">+IF(D169=0.667,E169*F169*G169*H169*M169,0)</f>
        <v>-48.024000000000001</v>
      </c>
      <c r="O169" s="100">
        <f t="shared" ref="O169" si="534">+IF(D169=0.333,E169*F169*G169*M169,0)</f>
        <v>0</v>
      </c>
      <c r="P169" s="27">
        <v>0</v>
      </c>
      <c r="Q169" s="100">
        <f t="shared" ref="Q169" si="535">+IF(D169=0.667,E169*F169*G169*H169*P169,0)</f>
        <v>0</v>
      </c>
      <c r="R169" s="100">
        <f t="shared" ref="R169" si="536">+IF(D169=0.333,E169*F169*G169*P169,0)</f>
        <v>0</v>
      </c>
      <c r="S169" s="101">
        <f t="shared" si="514"/>
        <v>-48.024000000000001</v>
      </c>
      <c r="T169" s="101">
        <f t="shared" si="514"/>
        <v>0</v>
      </c>
      <c r="U169" s="92"/>
      <c r="V169" s="91"/>
      <c r="W169" s="102">
        <f>+G169+D169</f>
        <v>6.6669999999999998</v>
      </c>
      <c r="X169" s="98">
        <v>0.5</v>
      </c>
      <c r="Y169" s="102">
        <f>+IF(D169=0.667,-E169*F169*H169*W169*X169,0)</f>
        <v>6.6703335000000008</v>
      </c>
      <c r="Z169" s="98">
        <f>+IF(D169=0.333,-E169*F169*H169*W169*X169,0)</f>
        <v>0</v>
      </c>
      <c r="AA169" s="98">
        <f>+F169*G169*H169</f>
        <v>12.006</v>
      </c>
      <c r="AB169" s="98">
        <f t="shared" ref="AB169" si="537">2*F169*W169*X169</f>
        <v>20.000999999999998</v>
      </c>
      <c r="AC169" s="91"/>
      <c r="AD169" s="98">
        <v>0.16700000000000001</v>
      </c>
      <c r="AE169" s="98">
        <f t="shared" ref="AE169" si="538">+IF(D169=0.667,AD169*W169*H169*F169,0)</f>
        <v>2.2278913889999998</v>
      </c>
      <c r="AF169" s="98">
        <f t="shared" ref="AF169" si="539">+IF(D169=0.333,AD169*W169*H169*F169,0)</f>
        <v>0</v>
      </c>
      <c r="AG169" s="91"/>
      <c r="AH169" s="305"/>
      <c r="AI169" s="299">
        <f t="shared" ref="AI169" si="540">+AH169*G169*D169*0.17</f>
        <v>0</v>
      </c>
      <c r="AK169" s="301"/>
      <c r="AL169" s="301">
        <f t="shared" si="516"/>
        <v>0</v>
      </c>
      <c r="AM169" s="301"/>
      <c r="AN169" s="301"/>
      <c r="AO169" s="299"/>
      <c r="AP169" s="301"/>
      <c r="AQ169" s="301"/>
      <c r="AT169" s="694">
        <f t="shared" si="473"/>
        <v>-18</v>
      </c>
    </row>
    <row r="170" spans="2:46" ht="20.100000000000001" customHeight="1" x14ac:dyDescent="0.3">
      <c r="B170" s="92"/>
      <c r="C170" s="95" t="s">
        <v>38</v>
      </c>
      <c r="D170" s="98">
        <v>0.66700000000000004</v>
      </c>
      <c r="E170" s="92">
        <v>1</v>
      </c>
      <c r="F170" s="92">
        <v>1</v>
      </c>
      <c r="G170" s="555">
        <f>+(1.247+4.434+0.2+0.2+4.408+0.2+0.2+4.408+0.2+0.2+4.416+0.2+0.2+1.994+0.2)*3.281</f>
        <v>74.501666999999998</v>
      </c>
      <c r="H170" s="98">
        <f>+D170</f>
        <v>0.66700000000000004</v>
      </c>
      <c r="I170" s="94">
        <v>2</v>
      </c>
      <c r="J170" s="99">
        <v>3</v>
      </c>
      <c r="K170" s="100">
        <f>+IF(D170=0.667,E170*F170*G170*H170*J170,0)</f>
        <v>149.07783566699999</v>
      </c>
      <c r="L170" s="100">
        <f>+IF(D170=0.333,E170*F170*G170*J170,0)</f>
        <v>0</v>
      </c>
      <c r="M170" s="99">
        <v>4</v>
      </c>
      <c r="N170" s="100">
        <f>+IF(D170=0.667,E170*F170*G170*H170*M170,0)</f>
        <v>198.77044755599999</v>
      </c>
      <c r="O170" s="100">
        <f>+IF(D170=0.333,E170*F170*G170*M170,0)</f>
        <v>0</v>
      </c>
      <c r="P170" s="27">
        <f>11.833-I170-M170-J170</f>
        <v>2.8330000000000002</v>
      </c>
      <c r="Q170" s="100">
        <f>+IF(D170=0.667,E170*F170*G170*H170*P170,0)</f>
        <v>140.779169481537</v>
      </c>
      <c r="R170" s="100">
        <f>+IF(D170=0.333,E170*F170*G170*P170,0)</f>
        <v>0</v>
      </c>
      <c r="S170" s="101">
        <f t="shared" si="514"/>
        <v>488.62745270453701</v>
      </c>
      <c r="T170" s="101">
        <f t="shared" si="514"/>
        <v>0</v>
      </c>
      <c r="U170" s="92"/>
      <c r="V170" s="91"/>
      <c r="W170" s="102"/>
      <c r="X170" s="98"/>
      <c r="Y170" s="102"/>
      <c r="Z170" s="98"/>
      <c r="AA170" s="98"/>
      <c r="AB170" s="98"/>
      <c r="AC170" s="91"/>
      <c r="AD170" s="98"/>
      <c r="AE170" s="98"/>
      <c r="AF170" s="98"/>
      <c r="AG170" s="91"/>
      <c r="AH170" s="305">
        <v>1</v>
      </c>
      <c r="AI170" s="299">
        <f>+AH170*G170*D170*0.17</f>
        <v>8.447744021130001</v>
      </c>
      <c r="AK170" s="301">
        <f t="shared" ref="AK170" si="541">+IF(D170=0.667,E170*F170*G170,0)</f>
        <v>74.501666999999998</v>
      </c>
      <c r="AL170" s="301">
        <f t="shared" si="516"/>
        <v>0</v>
      </c>
      <c r="AM170" s="301"/>
      <c r="AN170" s="301">
        <f>+IF(D170=0.333,1.33,0)</f>
        <v>0</v>
      </c>
      <c r="AO170" s="299"/>
      <c r="AP170" s="301"/>
      <c r="AQ170" s="301"/>
      <c r="AT170" s="694">
        <f t="shared" si="473"/>
        <v>74.501666999999998</v>
      </c>
    </row>
    <row r="171" spans="2:46" ht="20.100000000000001" customHeight="1" x14ac:dyDescent="0.3">
      <c r="B171" s="369"/>
      <c r="C171" s="370"/>
      <c r="D171" s="371"/>
      <c r="E171" s="369"/>
      <c r="F171" s="369"/>
      <c r="G171" s="371"/>
      <c r="H171" s="371"/>
      <c r="I171" s="374"/>
      <c r="J171" s="397"/>
      <c r="K171" s="398"/>
      <c r="L171" s="398"/>
      <c r="M171" s="397"/>
      <c r="N171" s="398"/>
      <c r="O171" s="398"/>
      <c r="P171" s="400"/>
      <c r="Q171" s="398"/>
      <c r="R171" s="398"/>
      <c r="S171" s="399"/>
      <c r="T171" s="399"/>
      <c r="U171" s="369"/>
      <c r="V171" s="373"/>
      <c r="W171" s="374"/>
      <c r="X171" s="374"/>
      <c r="Y171" s="374"/>
      <c r="Z171" s="374"/>
      <c r="AA171" s="374"/>
      <c r="AB171" s="374"/>
      <c r="AC171" s="400"/>
      <c r="AD171" s="374"/>
      <c r="AE171" s="374"/>
      <c r="AF171" s="374"/>
      <c r="AG171" s="400"/>
      <c r="AH171" s="401"/>
      <c r="AI171" s="374"/>
      <c r="AK171" s="378"/>
      <c r="AL171" s="378"/>
      <c r="AM171" s="378"/>
      <c r="AN171" s="378"/>
      <c r="AO171" s="374"/>
      <c r="AP171" s="378"/>
      <c r="AQ171" s="378"/>
      <c r="AT171" s="694">
        <f t="shared" si="473"/>
        <v>0</v>
      </c>
    </row>
    <row r="172" spans="2:46" ht="20.100000000000001" customHeight="1" x14ac:dyDescent="0.3">
      <c r="B172" s="92">
        <v>1</v>
      </c>
      <c r="C172" s="93" t="s">
        <v>385</v>
      </c>
      <c r="D172" s="92"/>
      <c r="E172" s="92"/>
      <c r="F172" s="92"/>
      <c r="G172" s="92"/>
      <c r="H172" s="92"/>
      <c r="I172" s="94"/>
      <c r="J172" s="92"/>
      <c r="K172" s="92"/>
      <c r="L172" s="92"/>
      <c r="M172" s="92"/>
      <c r="N172" s="92"/>
      <c r="O172" s="92"/>
      <c r="P172" s="95"/>
      <c r="Q172" s="92"/>
      <c r="R172" s="92"/>
      <c r="S172" s="92"/>
      <c r="T172" s="92"/>
      <c r="U172" s="92"/>
      <c r="V172" s="95"/>
      <c r="W172" s="92"/>
      <c r="X172" s="92"/>
      <c r="Y172" s="92"/>
      <c r="Z172" s="92"/>
      <c r="AA172" s="92"/>
      <c r="AB172" s="92"/>
      <c r="AC172" s="95"/>
      <c r="AD172" s="92"/>
      <c r="AE172" s="92"/>
      <c r="AF172" s="92"/>
      <c r="AG172" s="95"/>
      <c r="AH172" s="304"/>
      <c r="AI172" s="301"/>
      <c r="AK172" s="301"/>
      <c r="AL172" s="301"/>
      <c r="AM172" s="301"/>
      <c r="AN172" s="301"/>
      <c r="AO172" s="299"/>
      <c r="AP172" s="301"/>
      <c r="AQ172" s="301"/>
      <c r="AT172" s="694">
        <f t="shared" si="473"/>
        <v>0</v>
      </c>
    </row>
    <row r="173" spans="2:46" ht="20.100000000000001" customHeight="1" x14ac:dyDescent="0.3">
      <c r="B173" s="369"/>
      <c r="C173" s="97" t="s">
        <v>93</v>
      </c>
      <c r="D173" s="371"/>
      <c r="E173" s="369"/>
      <c r="F173" s="369"/>
      <c r="G173" s="371"/>
      <c r="H173" s="371"/>
      <c r="I173" s="372"/>
      <c r="J173" s="371"/>
      <c r="K173" s="371"/>
      <c r="L173" s="371"/>
      <c r="M173" s="371"/>
      <c r="N173" s="371"/>
      <c r="O173" s="371"/>
      <c r="P173" s="633"/>
      <c r="Q173" s="371"/>
      <c r="R173" s="371"/>
      <c r="S173" s="371"/>
      <c r="T173" s="371"/>
      <c r="U173" s="369"/>
      <c r="V173" s="370"/>
      <c r="W173" s="372"/>
      <c r="X173" s="371"/>
      <c r="Y173" s="372"/>
      <c r="Z173" s="371"/>
      <c r="AA173" s="371"/>
      <c r="AB173" s="371"/>
      <c r="AC173" s="370"/>
      <c r="AD173" s="371"/>
      <c r="AE173" s="371"/>
      <c r="AF173" s="371"/>
      <c r="AG173" s="370"/>
      <c r="AH173" s="376"/>
      <c r="AI173" s="372"/>
      <c r="AK173" s="377"/>
      <c r="AL173" s="377"/>
      <c r="AM173" s="377"/>
      <c r="AN173" s="377"/>
      <c r="AO173" s="372"/>
      <c r="AP173" s="377"/>
      <c r="AQ173" s="377"/>
      <c r="AT173" s="694">
        <f t="shared" si="473"/>
        <v>0</v>
      </c>
    </row>
    <row r="174" spans="2:46" ht="20.100000000000001" customHeight="1" x14ac:dyDescent="0.3">
      <c r="B174" s="92"/>
      <c r="C174" s="95" t="s">
        <v>33</v>
      </c>
      <c r="D174" s="98">
        <v>0.66700000000000004</v>
      </c>
      <c r="E174" s="92">
        <v>1</v>
      </c>
      <c r="F174" s="92">
        <v>1</v>
      </c>
      <c r="G174" s="555">
        <f>(7.387+0.353+7.867)*3.281</f>
        <v>51.206567</v>
      </c>
      <c r="H174" s="98">
        <f>+D174</f>
        <v>0.66700000000000004</v>
      </c>
      <c r="I174" s="94">
        <v>2</v>
      </c>
      <c r="J174" s="99">
        <v>3</v>
      </c>
      <c r="K174" s="100">
        <f>+IF(D174=0.667,E174*F174*G174*H174*J174,0)</f>
        <v>102.46434056699999</v>
      </c>
      <c r="L174" s="100">
        <f>+IF(D174=0.333,E174*F174*G174*J174,0)</f>
        <v>0</v>
      </c>
      <c r="M174" s="99">
        <v>4</v>
      </c>
      <c r="N174" s="100">
        <f>+IF(D174=0.667,E174*F174*G174*H174*M174,0)</f>
        <v>136.619120756</v>
      </c>
      <c r="O174" s="100">
        <f>+IF(D174=0.333,E174*F174*G174*M174,0)</f>
        <v>0</v>
      </c>
      <c r="P174" s="27">
        <f>11.833-I174-M174-J174</f>
        <v>2.8330000000000002</v>
      </c>
      <c r="Q174" s="100">
        <f>+IF(D174=0.667,E174*F174*G174*H174*P174,0)</f>
        <v>96.760492275437002</v>
      </c>
      <c r="R174" s="100">
        <f>+IF(D174=0.333,E174*F174*G174*P174,0)</f>
        <v>0</v>
      </c>
      <c r="S174" s="101">
        <f t="shared" ref="S174:T179" si="542">+Q174+N174+K174</f>
        <v>335.843953598437</v>
      </c>
      <c r="T174" s="101">
        <f t="shared" si="542"/>
        <v>0</v>
      </c>
      <c r="U174" s="92"/>
      <c r="V174" s="91"/>
      <c r="W174" s="102"/>
      <c r="X174" s="98"/>
      <c r="Y174" s="102"/>
      <c r="Z174" s="98"/>
      <c r="AA174" s="98"/>
      <c r="AB174" s="98"/>
      <c r="AC174" s="91"/>
      <c r="AD174" s="98"/>
      <c r="AE174" s="98"/>
      <c r="AF174" s="98"/>
      <c r="AG174" s="91"/>
      <c r="AH174" s="305">
        <v>1</v>
      </c>
      <c r="AI174" s="299">
        <f>+AH174*G174*D174*0.17</f>
        <v>5.80631263213</v>
      </c>
      <c r="AK174" s="301">
        <f t="shared" ref="AK174" si="543">+IF(D174=0.667,E174*F174*G174,0)</f>
        <v>51.206567</v>
      </c>
      <c r="AL174" s="301">
        <f t="shared" ref="AL174:AL179" si="544">+IF(D174=0.333,E174*F174*G174,0)</f>
        <v>0</v>
      </c>
      <c r="AM174" s="301"/>
      <c r="AN174" s="301">
        <f>+IF(D174=0.333,1.33,0)</f>
        <v>0</v>
      </c>
      <c r="AO174" s="299"/>
      <c r="AP174" s="301"/>
      <c r="AQ174" s="301"/>
      <c r="AT174" s="694">
        <f t="shared" si="473"/>
        <v>51.206567</v>
      </c>
    </row>
    <row r="175" spans="2:46" ht="20.100000000000001" customHeight="1" x14ac:dyDescent="0.3">
      <c r="B175" s="92"/>
      <c r="C175" s="95" t="s">
        <v>347</v>
      </c>
      <c r="D175" s="98">
        <v>0.66700000000000004</v>
      </c>
      <c r="E175" s="92">
        <v>-1</v>
      </c>
      <c r="F175" s="92">
        <v>4</v>
      </c>
      <c r="G175" s="555">
        <v>6</v>
      </c>
      <c r="H175" s="98">
        <f t="shared" ref="H175" si="545">+D175</f>
        <v>0.66700000000000004</v>
      </c>
      <c r="I175" s="94"/>
      <c r="J175" s="99"/>
      <c r="K175" s="100">
        <f t="shared" ref="K175" si="546">+IF(D175=0.667,E175*F175*G175*H175*J175,0)</f>
        <v>0</v>
      </c>
      <c r="L175" s="100">
        <f t="shared" ref="L175" si="547">+IF(D175=0.333,E175*F175*G175*J175,0)</f>
        <v>0</v>
      </c>
      <c r="M175" s="99">
        <v>4</v>
      </c>
      <c r="N175" s="100">
        <f t="shared" ref="N175" si="548">+IF(D175=0.667,E175*F175*G175*H175*M175,0)</f>
        <v>-64.032000000000011</v>
      </c>
      <c r="O175" s="100">
        <f t="shared" ref="O175" si="549">+IF(D175=0.333,E175*F175*G175*M175,0)</f>
        <v>0</v>
      </c>
      <c r="P175" s="27">
        <v>0</v>
      </c>
      <c r="Q175" s="100">
        <f t="shared" ref="Q175" si="550">+IF(D175=0.667,E175*F175*G175*H175*P175,0)</f>
        <v>0</v>
      </c>
      <c r="R175" s="100">
        <f t="shared" ref="R175" si="551">+IF(D175=0.333,E175*F175*G175*P175,0)</f>
        <v>0</v>
      </c>
      <c r="S175" s="101">
        <f t="shared" si="542"/>
        <v>-64.032000000000011</v>
      </c>
      <c r="T175" s="101">
        <f t="shared" si="542"/>
        <v>0</v>
      </c>
      <c r="U175" s="92"/>
      <c r="V175" s="91"/>
      <c r="W175" s="102">
        <f>+G175+D175</f>
        <v>6.6669999999999998</v>
      </c>
      <c r="X175" s="98">
        <v>0.5</v>
      </c>
      <c r="Y175" s="102">
        <f>+IF(D175=0.667,-E175*F175*H175*W175*X175,0)</f>
        <v>8.8937780000000011</v>
      </c>
      <c r="Z175" s="98">
        <f>+IF(D175=0.333,-E175*F175*H175*W175*X175,0)</f>
        <v>0</v>
      </c>
      <c r="AA175" s="98">
        <f>+F175*G175*H175</f>
        <v>16.008000000000003</v>
      </c>
      <c r="AB175" s="98">
        <f t="shared" ref="AB175" si="552">2*F175*W175*X175</f>
        <v>26.667999999999999</v>
      </c>
      <c r="AC175" s="91"/>
      <c r="AD175" s="98">
        <v>0.16700000000000001</v>
      </c>
      <c r="AE175" s="98">
        <f t="shared" ref="AE175" si="553">+IF(D175=0.667,AD175*W175*H175*F175,0)</f>
        <v>2.9705218520000001</v>
      </c>
      <c r="AF175" s="98">
        <f t="shared" ref="AF175" si="554">+IF(D175=0.333,AD175*W175*H175*F175,0)</f>
        <v>0</v>
      </c>
      <c r="AG175" s="91"/>
      <c r="AH175" s="305"/>
      <c r="AI175" s="299">
        <f t="shared" ref="AI175" si="555">+AH175*G175*D175*0.17</f>
        <v>0</v>
      </c>
      <c r="AK175" s="301"/>
      <c r="AL175" s="301">
        <f t="shared" si="544"/>
        <v>0</v>
      </c>
      <c r="AM175" s="301"/>
      <c r="AN175" s="301"/>
      <c r="AO175" s="299"/>
      <c r="AP175" s="301"/>
      <c r="AQ175" s="301"/>
      <c r="AT175" s="694">
        <f t="shared" si="473"/>
        <v>-24</v>
      </c>
    </row>
    <row r="176" spans="2:46" ht="20.100000000000001" customHeight="1" x14ac:dyDescent="0.3">
      <c r="B176" s="92"/>
      <c r="C176" s="95" t="s">
        <v>31</v>
      </c>
      <c r="D176" s="98">
        <v>0.66700000000000004</v>
      </c>
      <c r="E176" s="688">
        <f>1*0</f>
        <v>0</v>
      </c>
      <c r="F176" s="688">
        <f>1*0</f>
        <v>0</v>
      </c>
      <c r="G176" s="98">
        <f>(6.748+3.585)*3.281</f>
        <v>33.902573000000004</v>
      </c>
      <c r="H176" s="98">
        <f>+D176</f>
        <v>0.66700000000000004</v>
      </c>
      <c r="I176" s="94">
        <v>2</v>
      </c>
      <c r="J176" s="99">
        <v>3</v>
      </c>
      <c r="K176" s="100">
        <f>+IF(D176=0.667,E176*F176*G176*H176*J176,0)</f>
        <v>0</v>
      </c>
      <c r="L176" s="100">
        <f>+IF(D176=0.333,E176*F176*G176*J176,0)</f>
        <v>0</v>
      </c>
      <c r="M176" s="99">
        <v>4</v>
      </c>
      <c r="N176" s="100">
        <f>+IF(D176=0.667,E176*F176*G176*H176*M176,0)</f>
        <v>0</v>
      </c>
      <c r="O176" s="100">
        <f>+IF(D176=0.333,E176*F176*G176*M176,0)</f>
        <v>0</v>
      </c>
      <c r="P176" s="27">
        <f t="shared" ref="P176:P177" si="556">11.833-I176-M176-J176</f>
        <v>2.8330000000000002</v>
      </c>
      <c r="Q176" s="100">
        <f>+IF(D176=0.667,E176*F176*G176*H176*P176,0)</f>
        <v>0</v>
      </c>
      <c r="R176" s="100">
        <f>+IF(D176=0.333,E176*F176*G176*P176,0)</f>
        <v>0</v>
      </c>
      <c r="S176" s="555"/>
      <c r="T176" s="101">
        <f t="shared" si="542"/>
        <v>0</v>
      </c>
      <c r="U176" s="92"/>
      <c r="V176" s="91"/>
      <c r="W176" s="102"/>
      <c r="X176" s="98"/>
      <c r="Y176" s="102"/>
      <c r="Z176" s="98"/>
      <c r="AA176" s="98"/>
      <c r="AB176" s="98"/>
      <c r="AC176" s="91"/>
      <c r="AD176" s="98"/>
      <c r="AE176" s="98"/>
      <c r="AF176" s="98"/>
      <c r="AG176" s="91"/>
      <c r="AH176" s="305">
        <v>1</v>
      </c>
      <c r="AI176" s="299">
        <f>+AH176*G176*D176*0.17</f>
        <v>3.8442127524700007</v>
      </c>
      <c r="AK176" s="301">
        <f t="shared" ref="AK176:AK179" si="557">+IF(D176=0.667,E176*F176*G176,0)</f>
        <v>0</v>
      </c>
      <c r="AL176" s="301">
        <f t="shared" si="544"/>
        <v>0</v>
      </c>
      <c r="AM176" s="301"/>
      <c r="AN176" s="301">
        <f>+IF(D176=0.333,1.33,0)</f>
        <v>0</v>
      </c>
      <c r="AO176" s="299"/>
      <c r="AP176" s="301"/>
      <c r="AQ176" s="301"/>
      <c r="AT176" s="694">
        <f t="shared" si="473"/>
        <v>0</v>
      </c>
    </row>
    <row r="177" spans="2:46" ht="20.100000000000001" customHeight="1" x14ac:dyDescent="0.3">
      <c r="B177" s="92"/>
      <c r="C177" s="95" t="s">
        <v>32</v>
      </c>
      <c r="D177" s="98">
        <v>0.66700000000000004</v>
      </c>
      <c r="E177" s="688">
        <f>1*0</f>
        <v>0</v>
      </c>
      <c r="F177" s="688">
        <f>1*0</f>
        <v>0</v>
      </c>
      <c r="G177" s="98">
        <f>(6.994+7.766)*3.281</f>
        <v>48.42756</v>
      </c>
      <c r="H177" s="98">
        <f>+D177</f>
        <v>0.66700000000000004</v>
      </c>
      <c r="I177" s="94">
        <v>2</v>
      </c>
      <c r="J177" s="99">
        <v>3</v>
      </c>
      <c r="K177" s="100">
        <f>+IF(D177=0.667,E177*F177*G177*H177*J177,0)</f>
        <v>0</v>
      </c>
      <c r="L177" s="100">
        <f>+IF(D177=0.333,E177*F177*G177*J177,0)</f>
        <v>0</v>
      </c>
      <c r="M177" s="99">
        <v>4</v>
      </c>
      <c r="N177" s="100">
        <f>+IF(D177=0.667,E177*F177*G177*H177*M177,0)</f>
        <v>0</v>
      </c>
      <c r="O177" s="100">
        <f>+IF(D177=0.333,E177*F177*G177*M177,0)</f>
        <v>0</v>
      </c>
      <c r="P177" s="27">
        <f t="shared" si="556"/>
        <v>2.8330000000000002</v>
      </c>
      <c r="Q177" s="100">
        <f>+IF(D177=0.667,E177*F177*G177*H177*P177,0)</f>
        <v>0</v>
      </c>
      <c r="R177" s="100">
        <f>+IF(D177=0.333,E177*F177*G177*P177,0)</f>
        <v>0</v>
      </c>
      <c r="S177" s="555"/>
      <c r="T177" s="101">
        <f t="shared" si="542"/>
        <v>0</v>
      </c>
      <c r="U177" s="92"/>
      <c r="V177" s="91"/>
      <c r="W177" s="102"/>
      <c r="X177" s="98"/>
      <c r="Y177" s="102"/>
      <c r="Z177" s="98"/>
      <c r="AA177" s="98"/>
      <c r="AB177" s="98"/>
      <c r="AC177" s="91"/>
      <c r="AD177" s="98"/>
      <c r="AE177" s="98"/>
      <c r="AF177" s="98"/>
      <c r="AG177" s="91"/>
      <c r="AH177" s="305">
        <v>1</v>
      </c>
      <c r="AI177" s="299">
        <f>+AH177*G177*D177*0.17</f>
        <v>5.4912010284000008</v>
      </c>
      <c r="AK177" s="301">
        <f t="shared" si="557"/>
        <v>0</v>
      </c>
      <c r="AL177" s="301">
        <f t="shared" si="544"/>
        <v>0</v>
      </c>
      <c r="AM177" s="301"/>
      <c r="AN177" s="301">
        <f>+IF(D177=0.333,1.33,0)</f>
        <v>0</v>
      </c>
      <c r="AO177" s="299"/>
      <c r="AP177" s="301"/>
      <c r="AQ177" s="301"/>
      <c r="AT177" s="694">
        <f t="shared" si="473"/>
        <v>0</v>
      </c>
    </row>
    <row r="178" spans="2:46" ht="20.100000000000001" customHeight="1" x14ac:dyDescent="0.3">
      <c r="B178" s="92"/>
      <c r="C178" s="95" t="s">
        <v>335</v>
      </c>
      <c r="D178" s="98">
        <v>0.66700000000000004</v>
      </c>
      <c r="E178" s="688">
        <f>-1*0</f>
        <v>0</v>
      </c>
      <c r="F178" s="688">
        <f>1*0</f>
        <v>0</v>
      </c>
      <c r="G178" s="98">
        <f>3.5+3.5</f>
        <v>7</v>
      </c>
      <c r="H178" s="98">
        <f>+D178</f>
        <v>0.66700000000000004</v>
      </c>
      <c r="I178" s="102"/>
      <c r="J178" s="99">
        <v>3</v>
      </c>
      <c r="K178" s="100">
        <f>+IF(D178=0.667,E178*F178*G178*H178*J178,0)</f>
        <v>0</v>
      </c>
      <c r="L178" s="100">
        <f>+IF(D178=0.333,E178*F178*G178*J178,0)</f>
        <v>0</v>
      </c>
      <c r="M178" s="99">
        <v>4</v>
      </c>
      <c r="N178" s="100">
        <f>+IF(D178=0.667,E178*F178*G178*H178*M178,0)</f>
        <v>0</v>
      </c>
      <c r="O178" s="100">
        <f>+IF(D178=0.333,E178*F178*G178*M178,0)</f>
        <v>0</v>
      </c>
      <c r="P178" s="590">
        <v>0.5</v>
      </c>
      <c r="Q178" s="100">
        <f>+IF(D178=0.667,E178*F178*G178*H178*P178,0)</f>
        <v>0</v>
      </c>
      <c r="R178" s="100">
        <f>+IF(D178=0.333,E178*F178*G178*P178,0)</f>
        <v>0</v>
      </c>
      <c r="S178" s="555"/>
      <c r="T178" s="101">
        <f t="shared" si="542"/>
        <v>0</v>
      </c>
      <c r="U178" s="92"/>
      <c r="V178" s="91"/>
      <c r="W178" s="98">
        <f>+G178+D178*2</f>
        <v>8.3339999999999996</v>
      </c>
      <c r="X178" s="98">
        <v>0.5</v>
      </c>
      <c r="Y178" s="98">
        <f>+IF(D178=0.667,-E178*F178*H178*W178*X178,0)</f>
        <v>0</v>
      </c>
      <c r="Z178" s="98">
        <f>+IF(D178=0.333,-E178*F178*H178*W178*X178,0)</f>
        <v>0</v>
      </c>
      <c r="AA178" s="98">
        <f>+F178*G178*H178</f>
        <v>0</v>
      </c>
      <c r="AB178" s="98">
        <f t="shared" ref="AB178" si="558">2*F178*W178*X178</f>
        <v>0</v>
      </c>
      <c r="AC178" s="91"/>
      <c r="AD178" s="98"/>
      <c r="AE178" s="98">
        <f>+IF(D178=0.667,AD178*W178*H178*F178,0)</f>
        <v>0</v>
      </c>
      <c r="AF178" s="98">
        <f>+IF(D178=0.333,AD178*W178*H178*F178,0)</f>
        <v>0</v>
      </c>
      <c r="AG178" s="91"/>
      <c r="AH178" s="304"/>
      <c r="AI178" s="299">
        <f>+AH178*G178*D178*0.17</f>
        <v>0</v>
      </c>
      <c r="AK178" s="301">
        <f t="shared" si="557"/>
        <v>0</v>
      </c>
      <c r="AL178" s="301">
        <f t="shared" si="544"/>
        <v>0</v>
      </c>
      <c r="AM178" s="301">
        <f>+IF(D178=0.667,1.33,0)*0</f>
        <v>0</v>
      </c>
      <c r="AN178" s="301"/>
      <c r="AO178" s="299"/>
      <c r="AP178" s="301"/>
      <c r="AQ178" s="301"/>
      <c r="AT178" s="694">
        <f t="shared" si="473"/>
        <v>0</v>
      </c>
    </row>
    <row r="179" spans="2:46" ht="20.100000000000001" customHeight="1" x14ac:dyDescent="0.3">
      <c r="B179" s="92"/>
      <c r="C179" s="95" t="s">
        <v>38</v>
      </c>
      <c r="D179" s="98">
        <v>0.66700000000000004</v>
      </c>
      <c r="E179" s="92">
        <v>1</v>
      </c>
      <c r="F179" s="92">
        <v>1</v>
      </c>
      <c r="G179" s="555">
        <f>(3.587+5.224)*3.281</f>
        <v>28.908891000000001</v>
      </c>
      <c r="H179" s="98">
        <f>+D179</f>
        <v>0.66700000000000004</v>
      </c>
      <c r="I179" s="94">
        <v>2</v>
      </c>
      <c r="J179" s="99">
        <v>3</v>
      </c>
      <c r="K179" s="100">
        <f>+IF(D179=0.667,E179*F179*G179*H179*J179,0)</f>
        <v>57.846690891000009</v>
      </c>
      <c r="L179" s="100">
        <f>+IF(D179=0.333,E179*F179*G179*J179,0)</f>
        <v>0</v>
      </c>
      <c r="M179" s="99">
        <v>4</v>
      </c>
      <c r="N179" s="100">
        <f>+IF(D179=0.667,E179*F179*G179*H179*M179,0)</f>
        <v>77.128921188000007</v>
      </c>
      <c r="O179" s="100">
        <f>+IF(D179=0.333,E179*F179*G179*M179,0)</f>
        <v>0</v>
      </c>
      <c r="P179" s="27">
        <f>11.833-I179-M179-J179</f>
        <v>2.8330000000000002</v>
      </c>
      <c r="Q179" s="100">
        <f>+IF(D179=0.667,E179*F179*G179*H179*P179,0)</f>
        <v>54.626558431401008</v>
      </c>
      <c r="R179" s="100">
        <f>+IF(D179=0.333,E179*F179*G179*P179,0)</f>
        <v>0</v>
      </c>
      <c r="S179" s="101">
        <f t="shared" si="542"/>
        <v>189.60217051040101</v>
      </c>
      <c r="T179" s="101">
        <f t="shared" si="542"/>
        <v>0</v>
      </c>
      <c r="U179" s="92"/>
      <c r="V179" s="91"/>
      <c r="W179" s="102"/>
      <c r="X179" s="98"/>
      <c r="Y179" s="102"/>
      <c r="Z179" s="98"/>
      <c r="AA179" s="98"/>
      <c r="AB179" s="98"/>
      <c r="AC179" s="91"/>
      <c r="AD179" s="98"/>
      <c r="AE179" s="98"/>
      <c r="AF179" s="98"/>
      <c r="AG179" s="91"/>
      <c r="AH179" s="305">
        <v>1</v>
      </c>
      <c r="AI179" s="299">
        <f>+AH179*G179*D179*0.17</f>
        <v>3.2779791504900007</v>
      </c>
      <c r="AK179" s="301">
        <f t="shared" si="557"/>
        <v>28.908891000000001</v>
      </c>
      <c r="AL179" s="301">
        <f t="shared" si="544"/>
        <v>0</v>
      </c>
      <c r="AM179" s="301"/>
      <c r="AN179" s="301">
        <f>+IF(D179=0.333,1.33,0)</f>
        <v>0</v>
      </c>
      <c r="AO179" s="299"/>
      <c r="AP179" s="301"/>
      <c r="AQ179" s="301"/>
      <c r="AT179" s="694">
        <f t="shared" si="473"/>
        <v>28.908891000000001</v>
      </c>
    </row>
    <row r="180" spans="2:46" ht="20.100000000000001" customHeight="1" x14ac:dyDescent="0.3">
      <c r="B180" s="369"/>
      <c r="C180" s="395"/>
      <c r="D180" s="371"/>
      <c r="E180" s="369"/>
      <c r="F180" s="369"/>
      <c r="G180" s="371"/>
      <c r="H180" s="371"/>
      <c r="I180" s="372"/>
      <c r="J180" s="371"/>
      <c r="K180" s="371"/>
      <c r="L180" s="371"/>
      <c r="M180" s="371"/>
      <c r="N180" s="371"/>
      <c r="O180" s="371"/>
      <c r="P180" s="633"/>
      <c r="Q180" s="371"/>
      <c r="R180" s="371"/>
      <c r="S180" s="371"/>
      <c r="T180" s="371"/>
      <c r="U180" s="369"/>
      <c r="V180" s="370"/>
      <c r="W180" s="372"/>
      <c r="X180" s="371"/>
      <c r="Y180" s="372"/>
      <c r="Z180" s="371"/>
      <c r="AA180" s="371"/>
      <c r="AB180" s="371"/>
      <c r="AC180" s="370"/>
      <c r="AD180" s="371"/>
      <c r="AE180" s="371"/>
      <c r="AF180" s="371"/>
      <c r="AG180" s="370"/>
      <c r="AH180" s="376"/>
      <c r="AI180" s="372"/>
      <c r="AK180" s="377"/>
      <c r="AL180" s="377"/>
      <c r="AM180" s="377"/>
      <c r="AN180" s="377"/>
      <c r="AO180" s="372"/>
      <c r="AP180" s="377"/>
      <c r="AQ180" s="377"/>
      <c r="AT180" s="694">
        <f t="shared" si="473"/>
        <v>0</v>
      </c>
    </row>
    <row r="181" spans="2:46" ht="20.100000000000001" customHeight="1" x14ac:dyDescent="0.3">
      <c r="B181" s="369"/>
      <c r="C181" s="97" t="s">
        <v>94</v>
      </c>
      <c r="D181" s="371"/>
      <c r="E181" s="369"/>
      <c r="F181" s="369"/>
      <c r="G181" s="371"/>
      <c r="H181" s="371"/>
      <c r="I181" s="372"/>
      <c r="J181" s="371"/>
      <c r="K181" s="371"/>
      <c r="L181" s="371"/>
      <c r="M181" s="371"/>
      <c r="N181" s="371"/>
      <c r="O181" s="371"/>
      <c r="P181" s="633"/>
      <c r="Q181" s="371"/>
      <c r="R181" s="371"/>
      <c r="S181" s="371"/>
      <c r="T181" s="371"/>
      <c r="U181" s="369"/>
      <c r="V181" s="370"/>
      <c r="W181" s="372"/>
      <c r="X181" s="371"/>
      <c r="Y181" s="372"/>
      <c r="Z181" s="371"/>
      <c r="AA181" s="371"/>
      <c r="AB181" s="371"/>
      <c r="AC181" s="370"/>
      <c r="AD181" s="371"/>
      <c r="AE181" s="371"/>
      <c r="AF181" s="371"/>
      <c r="AG181" s="370"/>
      <c r="AH181" s="376"/>
      <c r="AI181" s="372"/>
      <c r="AK181" s="377"/>
      <c r="AL181" s="377"/>
      <c r="AM181" s="377"/>
      <c r="AN181" s="377"/>
      <c r="AO181" s="372"/>
      <c r="AP181" s="377"/>
      <c r="AQ181" s="377"/>
      <c r="AT181" s="694">
        <f t="shared" si="473"/>
        <v>0</v>
      </c>
    </row>
    <row r="182" spans="2:46" ht="20.100000000000001" customHeight="1" x14ac:dyDescent="0.3">
      <c r="B182" s="92"/>
      <c r="C182" s="95" t="s">
        <v>33</v>
      </c>
      <c r="D182" s="98">
        <v>0.66700000000000004</v>
      </c>
      <c r="E182" s="92">
        <v>1</v>
      </c>
      <c r="F182" s="92">
        <v>1</v>
      </c>
      <c r="G182" s="555">
        <f>(7.634+7.772)*3.281</f>
        <v>50.547086000000007</v>
      </c>
      <c r="H182" s="98">
        <f>+D182</f>
        <v>0.66700000000000004</v>
      </c>
      <c r="I182" s="94">
        <v>2</v>
      </c>
      <c r="J182" s="99">
        <v>3</v>
      </c>
      <c r="K182" s="100">
        <f>+IF(D182=0.667,E182*F182*G182*H182*J182,0)</f>
        <v>101.14471908600002</v>
      </c>
      <c r="L182" s="100">
        <f>+IF(D182=0.333,E182*F182*G182*J182,0)</f>
        <v>0</v>
      </c>
      <c r="M182" s="99">
        <v>4</v>
      </c>
      <c r="N182" s="100">
        <f>+IF(D182=0.667,E182*F182*G182*H182*M182,0)</f>
        <v>134.85962544800003</v>
      </c>
      <c r="O182" s="100">
        <f>+IF(D182=0.333,E182*F182*G182*M182,0)</f>
        <v>0</v>
      </c>
      <c r="P182" s="27">
        <f>11.833-I182-M182-J182</f>
        <v>2.8330000000000002</v>
      </c>
      <c r="Q182" s="100">
        <f>+IF(D182=0.667,E182*F182*G182*H182*P182,0)</f>
        <v>95.514329723546027</v>
      </c>
      <c r="R182" s="100">
        <f>+IF(D182=0.333,E182*F182*G182*P182,0)</f>
        <v>0</v>
      </c>
      <c r="S182" s="101">
        <f t="shared" ref="S182:T186" si="559">+Q182+N182+K182</f>
        <v>331.51867425754608</v>
      </c>
      <c r="T182" s="101">
        <f t="shared" si="559"/>
        <v>0</v>
      </c>
      <c r="U182" s="92"/>
      <c r="V182" s="91"/>
      <c r="W182" s="102"/>
      <c r="X182" s="98"/>
      <c r="Y182" s="102"/>
      <c r="Z182" s="98"/>
      <c r="AA182" s="98"/>
      <c r="AB182" s="98"/>
      <c r="AC182" s="91"/>
      <c r="AD182" s="98"/>
      <c r="AE182" s="98"/>
      <c r="AF182" s="98"/>
      <c r="AG182" s="91"/>
      <c r="AH182" s="305">
        <v>1</v>
      </c>
      <c r="AI182" s="299">
        <f>+AH182*G182*D182*0.17</f>
        <v>5.7315340815400013</v>
      </c>
      <c r="AK182" s="301">
        <f t="shared" ref="AK182" si="560">+IF(D182=0.667,E182*F182*G182,0)</f>
        <v>50.547086000000007</v>
      </c>
      <c r="AL182" s="301">
        <f t="shared" ref="AL182:AL186" si="561">+IF(D182=0.333,E182*F182*G182,0)</f>
        <v>0</v>
      </c>
      <c r="AM182" s="301"/>
      <c r="AN182" s="301">
        <f>+IF(D182=0.333,1.33,0)</f>
        <v>0</v>
      </c>
      <c r="AO182" s="299"/>
      <c r="AP182" s="301"/>
      <c r="AQ182" s="301"/>
      <c r="AT182" s="694">
        <f t="shared" si="473"/>
        <v>50.547086000000007</v>
      </c>
    </row>
    <row r="183" spans="2:46" ht="20.100000000000001" customHeight="1" x14ac:dyDescent="0.3">
      <c r="B183" s="92"/>
      <c r="C183" s="95" t="s">
        <v>347</v>
      </c>
      <c r="D183" s="98">
        <v>0.66700000000000004</v>
      </c>
      <c r="E183" s="92">
        <v>-1</v>
      </c>
      <c r="F183" s="92">
        <v>4</v>
      </c>
      <c r="G183" s="555">
        <v>6</v>
      </c>
      <c r="H183" s="98">
        <f t="shared" ref="H183" si="562">+D183</f>
        <v>0.66700000000000004</v>
      </c>
      <c r="I183" s="94"/>
      <c r="J183" s="99"/>
      <c r="K183" s="100">
        <f t="shared" ref="K183" si="563">+IF(D183=0.667,E183*F183*G183*H183*J183,0)</f>
        <v>0</v>
      </c>
      <c r="L183" s="100">
        <f t="shared" ref="L183" si="564">+IF(D183=0.333,E183*F183*G183*J183,0)</f>
        <v>0</v>
      </c>
      <c r="M183" s="99">
        <v>4</v>
      </c>
      <c r="N183" s="100">
        <f t="shared" ref="N183" si="565">+IF(D183=0.667,E183*F183*G183*H183*M183,0)</f>
        <v>-64.032000000000011</v>
      </c>
      <c r="O183" s="100">
        <f t="shared" ref="O183" si="566">+IF(D183=0.333,E183*F183*G183*M183,0)</f>
        <v>0</v>
      </c>
      <c r="P183" s="27">
        <v>0</v>
      </c>
      <c r="Q183" s="100">
        <f t="shared" ref="Q183" si="567">+IF(D183=0.667,E183*F183*G183*H183*P183,0)</f>
        <v>0</v>
      </c>
      <c r="R183" s="100">
        <f t="shared" ref="R183" si="568">+IF(D183=0.333,E183*F183*G183*P183,0)</f>
        <v>0</v>
      </c>
      <c r="S183" s="101">
        <f t="shared" si="559"/>
        <v>-64.032000000000011</v>
      </c>
      <c r="T183" s="101">
        <f t="shared" si="559"/>
        <v>0</v>
      </c>
      <c r="U183" s="92"/>
      <c r="V183" s="91"/>
      <c r="W183" s="102">
        <f>+G183+D183</f>
        <v>6.6669999999999998</v>
      </c>
      <c r="X183" s="98">
        <v>0.5</v>
      </c>
      <c r="Y183" s="102">
        <f>+IF(D183=0.667,-E183*F183*H183*W183*X183,0)</f>
        <v>8.8937780000000011</v>
      </c>
      <c r="Z183" s="98">
        <f>+IF(D183=0.333,-E183*F183*H183*W183*X183,0)</f>
        <v>0</v>
      </c>
      <c r="AA183" s="98">
        <f>+F183*G183*H183</f>
        <v>16.008000000000003</v>
      </c>
      <c r="AB183" s="98">
        <f t="shared" ref="AB183" si="569">2*F183*W183*X183</f>
        <v>26.667999999999999</v>
      </c>
      <c r="AC183" s="91"/>
      <c r="AD183" s="98">
        <v>0.16700000000000001</v>
      </c>
      <c r="AE183" s="98">
        <f t="shared" ref="AE183" si="570">+IF(D183=0.667,AD183*W183*H183*F183,0)</f>
        <v>2.9705218520000001</v>
      </c>
      <c r="AF183" s="98">
        <f t="shared" ref="AF183" si="571">+IF(D183=0.333,AD183*W183*H183*F183,0)</f>
        <v>0</v>
      </c>
      <c r="AG183" s="91"/>
      <c r="AH183" s="305"/>
      <c r="AI183" s="299">
        <f t="shared" ref="AI183" si="572">+AH183*G183*D183*0.17</f>
        <v>0</v>
      </c>
      <c r="AK183" s="301"/>
      <c r="AL183" s="301">
        <f t="shared" si="561"/>
        <v>0</v>
      </c>
      <c r="AM183" s="301"/>
      <c r="AN183" s="301"/>
      <c r="AO183" s="299"/>
      <c r="AP183" s="301"/>
      <c r="AQ183" s="301"/>
      <c r="AT183" s="694">
        <f t="shared" si="473"/>
        <v>-24</v>
      </c>
    </row>
    <row r="184" spans="2:46" ht="20.100000000000001" customHeight="1" x14ac:dyDescent="0.3">
      <c r="B184" s="92"/>
      <c r="C184" s="95" t="s">
        <v>31</v>
      </c>
      <c r="D184" s="98">
        <v>0.66700000000000004</v>
      </c>
      <c r="E184" s="688">
        <f>1*0</f>
        <v>0</v>
      </c>
      <c r="F184" s="688">
        <f>1*0</f>
        <v>0</v>
      </c>
      <c r="G184" s="98">
        <f>(6.748+3.585)*3.281</f>
        <v>33.902573000000004</v>
      </c>
      <c r="H184" s="98">
        <f>+D184</f>
        <v>0.66700000000000004</v>
      </c>
      <c r="I184" s="94">
        <v>2</v>
      </c>
      <c r="J184" s="99">
        <v>3</v>
      </c>
      <c r="K184" s="100">
        <f>+IF(D184=0.667,E184*F184*G184*H184*J184,0)</f>
        <v>0</v>
      </c>
      <c r="L184" s="100">
        <f>+IF(D184=0.333,E184*F184*G184*J184,0)</f>
        <v>0</v>
      </c>
      <c r="M184" s="99">
        <v>4</v>
      </c>
      <c r="N184" s="100">
        <f>+IF(D184=0.667,E184*F184*G184*H184*M184,0)</f>
        <v>0</v>
      </c>
      <c r="O184" s="100">
        <f>+IF(D184=0.333,E184*F184*G184*M184,0)</f>
        <v>0</v>
      </c>
      <c r="P184" s="27">
        <f t="shared" ref="P184:P185" si="573">11.833-I184-M184-J184</f>
        <v>2.8330000000000002</v>
      </c>
      <c r="Q184" s="100">
        <f>+IF(D184=0.667,E184*F184*G184*H184*P184,0)</f>
        <v>0</v>
      </c>
      <c r="R184" s="100">
        <f>+IF(D184=0.333,E184*F184*G184*P184,0)</f>
        <v>0</v>
      </c>
      <c r="S184" s="555"/>
      <c r="T184" s="101">
        <f t="shared" si="559"/>
        <v>0</v>
      </c>
      <c r="U184" s="92"/>
      <c r="V184" s="91"/>
      <c r="W184" s="102"/>
      <c r="X184" s="98"/>
      <c r="Y184" s="102"/>
      <c r="Z184" s="98"/>
      <c r="AA184" s="98"/>
      <c r="AB184" s="98"/>
      <c r="AC184" s="91"/>
      <c r="AD184" s="98"/>
      <c r="AE184" s="98"/>
      <c r="AF184" s="98"/>
      <c r="AG184" s="91"/>
      <c r="AH184" s="305">
        <v>1</v>
      </c>
      <c r="AI184" s="299">
        <f>+AH184*G184*D184*0.17</f>
        <v>3.8442127524700007</v>
      </c>
      <c r="AK184" s="301">
        <f t="shared" ref="AK184:AK186" si="574">+IF(D184=0.667,E184*F184*G184,0)</f>
        <v>0</v>
      </c>
      <c r="AL184" s="301">
        <f t="shared" si="561"/>
        <v>0</v>
      </c>
      <c r="AM184" s="301"/>
      <c r="AN184" s="301">
        <f>+IF(D184=0.333,1.33,0)</f>
        <v>0</v>
      </c>
      <c r="AO184" s="299"/>
      <c r="AP184" s="301"/>
      <c r="AQ184" s="301"/>
      <c r="AT184" s="694">
        <f t="shared" si="473"/>
        <v>0</v>
      </c>
    </row>
    <row r="185" spans="2:46" ht="20.100000000000001" customHeight="1" x14ac:dyDescent="0.3">
      <c r="B185" s="92"/>
      <c r="C185" s="95" t="s">
        <v>32</v>
      </c>
      <c r="D185" s="98">
        <v>0.66700000000000004</v>
      </c>
      <c r="E185" s="688">
        <f>1*0</f>
        <v>0</v>
      </c>
      <c r="F185" s="688">
        <f>1*0</f>
        <v>0</v>
      </c>
      <c r="G185" s="98">
        <f>(7.629+7.653)*3.281</f>
        <v>50.140242000000001</v>
      </c>
      <c r="H185" s="98">
        <f>+D185</f>
        <v>0.66700000000000004</v>
      </c>
      <c r="I185" s="94">
        <v>2</v>
      </c>
      <c r="J185" s="99">
        <v>3</v>
      </c>
      <c r="K185" s="100">
        <f>+IF(D185=0.667,E185*F185*G185*H185*J185,0)</f>
        <v>0</v>
      </c>
      <c r="L185" s="100">
        <f>+IF(D185=0.333,E185*F185*G185*J185,0)</f>
        <v>0</v>
      </c>
      <c r="M185" s="99">
        <v>4</v>
      </c>
      <c r="N185" s="100">
        <f>+IF(D185=0.667,E185*F185*G185*H185*M185,0)</f>
        <v>0</v>
      </c>
      <c r="O185" s="100">
        <f>+IF(D185=0.333,E185*F185*G185*M185,0)</f>
        <v>0</v>
      </c>
      <c r="P185" s="27">
        <f t="shared" si="573"/>
        <v>2.8330000000000002</v>
      </c>
      <c r="Q185" s="100">
        <f>+IF(D185=0.667,E185*F185*G185*H185*P185,0)</f>
        <v>0</v>
      </c>
      <c r="R185" s="100">
        <f>+IF(D185=0.333,E185*F185*G185*P185,0)</f>
        <v>0</v>
      </c>
      <c r="S185" s="555"/>
      <c r="T185" s="101">
        <f t="shared" si="559"/>
        <v>0</v>
      </c>
      <c r="U185" s="92"/>
      <c r="V185" s="91"/>
      <c r="W185" s="102"/>
      <c r="X185" s="98"/>
      <c r="Y185" s="102"/>
      <c r="Z185" s="98"/>
      <c r="AA185" s="98"/>
      <c r="AB185" s="98"/>
      <c r="AC185" s="91"/>
      <c r="AD185" s="98"/>
      <c r="AE185" s="98"/>
      <c r="AF185" s="98"/>
      <c r="AG185" s="91"/>
      <c r="AH185" s="305">
        <v>1</v>
      </c>
      <c r="AI185" s="299">
        <f>+AH185*G185*D185*0.17</f>
        <v>5.6854020403800005</v>
      </c>
      <c r="AK185" s="301">
        <f t="shared" si="574"/>
        <v>0</v>
      </c>
      <c r="AL185" s="301">
        <f t="shared" si="561"/>
        <v>0</v>
      </c>
      <c r="AM185" s="301"/>
      <c r="AN185" s="301">
        <f>+IF(D185=0.333,1.33,0)</f>
        <v>0</v>
      </c>
      <c r="AO185" s="299"/>
      <c r="AP185" s="301"/>
      <c r="AQ185" s="301"/>
      <c r="AT185" s="694">
        <f t="shared" si="473"/>
        <v>0</v>
      </c>
    </row>
    <row r="186" spans="2:46" ht="20.100000000000001" customHeight="1" x14ac:dyDescent="0.3">
      <c r="B186" s="92"/>
      <c r="C186" s="95" t="s">
        <v>335</v>
      </c>
      <c r="D186" s="98">
        <v>0.66700000000000004</v>
      </c>
      <c r="E186" s="688">
        <f>-1*0</f>
        <v>0</v>
      </c>
      <c r="F186" s="688">
        <f>1*0</f>
        <v>0</v>
      </c>
      <c r="G186" s="98">
        <f>3.5+3.5</f>
        <v>7</v>
      </c>
      <c r="H186" s="98">
        <f>+D186</f>
        <v>0.66700000000000004</v>
      </c>
      <c r="I186" s="102"/>
      <c r="J186" s="99">
        <v>3</v>
      </c>
      <c r="K186" s="100">
        <f>+IF(D186=0.667,E186*F186*G186*H186*J186,0)</f>
        <v>0</v>
      </c>
      <c r="L186" s="100">
        <f>+IF(D186=0.333,E186*F186*G186*J186,0)</f>
        <v>0</v>
      </c>
      <c r="M186" s="99">
        <v>4</v>
      </c>
      <c r="N186" s="100">
        <f>+IF(D186=0.667,E186*F186*G186*H186*M186,0)</f>
        <v>0</v>
      </c>
      <c r="O186" s="100">
        <f>+IF(D186=0.333,E186*F186*G186*M186,0)</f>
        <v>0</v>
      </c>
      <c r="P186" s="590">
        <v>0.5</v>
      </c>
      <c r="Q186" s="100">
        <f>+IF(D186=0.667,E186*F186*G186*H186*P186,0)</f>
        <v>0</v>
      </c>
      <c r="R186" s="100">
        <f>+IF(D186=0.333,E186*F186*G186*P186,0)</f>
        <v>0</v>
      </c>
      <c r="S186" s="555"/>
      <c r="T186" s="101">
        <f t="shared" si="559"/>
        <v>0</v>
      </c>
      <c r="U186" s="92"/>
      <c r="V186" s="91"/>
      <c r="W186" s="98">
        <f>+G186+D186*2</f>
        <v>8.3339999999999996</v>
      </c>
      <c r="X186" s="98">
        <v>0.5</v>
      </c>
      <c r="Y186" s="98">
        <f>+IF(D186=0.667,-E186*F186*H186*W186*X186,0)</f>
        <v>0</v>
      </c>
      <c r="Z186" s="98">
        <f>+IF(D186=0.333,-E186*F186*H186*W186*X186,0)</f>
        <v>0</v>
      </c>
      <c r="AA186" s="98">
        <f>+F186*G186*H186</f>
        <v>0</v>
      </c>
      <c r="AB186" s="98">
        <f t="shared" ref="AB186" si="575">2*F186*W186*X186</f>
        <v>0</v>
      </c>
      <c r="AC186" s="91"/>
      <c r="AD186" s="98"/>
      <c r="AE186" s="98">
        <f>+IF(D186=0.667,AD186*W186*H186*F186,0)</f>
        <v>0</v>
      </c>
      <c r="AF186" s="98">
        <f>+IF(D186=0.333,AD186*W186*H186*F186,0)</f>
        <v>0</v>
      </c>
      <c r="AG186" s="91"/>
      <c r="AH186" s="304"/>
      <c r="AI186" s="299">
        <f>+AH186*G186*D186*0.17</f>
        <v>0</v>
      </c>
      <c r="AK186" s="301">
        <f t="shared" si="574"/>
        <v>0</v>
      </c>
      <c r="AL186" s="301">
        <f t="shared" si="561"/>
        <v>0</v>
      </c>
      <c r="AM186" s="301">
        <f>+IF(D186=0.667,1.33,0)*0</f>
        <v>0</v>
      </c>
      <c r="AN186" s="301"/>
      <c r="AO186" s="299"/>
      <c r="AP186" s="301"/>
      <c r="AQ186" s="301"/>
      <c r="AT186" s="694">
        <f t="shared" si="473"/>
        <v>0</v>
      </c>
    </row>
    <row r="187" spans="2:46" ht="20.100000000000001" customHeight="1" x14ac:dyDescent="0.3">
      <c r="B187" s="369"/>
      <c r="C187" s="370"/>
      <c r="D187" s="371"/>
      <c r="E187" s="369"/>
      <c r="F187" s="369"/>
      <c r="G187" s="371"/>
      <c r="H187" s="371"/>
      <c r="I187" s="374"/>
      <c r="J187" s="397"/>
      <c r="K187" s="398"/>
      <c r="L187" s="398"/>
      <c r="M187" s="397"/>
      <c r="N187" s="398"/>
      <c r="O187" s="398"/>
      <c r="P187" s="400"/>
      <c r="Q187" s="398"/>
      <c r="R187" s="398"/>
      <c r="S187" s="399"/>
      <c r="T187" s="399"/>
      <c r="U187" s="369"/>
      <c r="V187" s="373"/>
      <c r="W187" s="374"/>
      <c r="X187" s="374"/>
      <c r="Y187" s="374"/>
      <c r="Z187" s="374"/>
      <c r="AA187" s="374"/>
      <c r="AB187" s="374"/>
      <c r="AC187" s="400"/>
      <c r="AD187" s="374"/>
      <c r="AE187" s="374"/>
      <c r="AF187" s="374"/>
      <c r="AG187" s="400"/>
      <c r="AH187" s="401"/>
      <c r="AI187" s="374"/>
      <c r="AK187" s="378"/>
      <c r="AL187" s="378"/>
      <c r="AM187" s="378"/>
      <c r="AN187" s="378"/>
      <c r="AO187" s="374"/>
      <c r="AP187" s="378"/>
      <c r="AQ187" s="378"/>
      <c r="AT187" s="694">
        <f t="shared" si="473"/>
        <v>0</v>
      </c>
    </row>
    <row r="188" spans="2:46" ht="20.100000000000001" customHeight="1" x14ac:dyDescent="0.3">
      <c r="B188" s="369"/>
      <c r="C188" s="97" t="s">
        <v>386</v>
      </c>
      <c r="D188" s="371"/>
      <c r="E188" s="369"/>
      <c r="F188" s="369"/>
      <c r="G188" s="371"/>
      <c r="H188" s="371"/>
      <c r="I188" s="372"/>
      <c r="J188" s="371"/>
      <c r="K188" s="371"/>
      <c r="L188" s="371"/>
      <c r="M188" s="371"/>
      <c r="N188" s="371"/>
      <c r="O188" s="371"/>
      <c r="P188" s="633"/>
      <c r="Q188" s="371"/>
      <c r="R188" s="371"/>
      <c r="S188" s="371"/>
      <c r="T188" s="371"/>
      <c r="U188" s="369"/>
      <c r="V188" s="370"/>
      <c r="W188" s="372"/>
      <c r="X188" s="371"/>
      <c r="Y188" s="372"/>
      <c r="Z188" s="371"/>
      <c r="AA188" s="371"/>
      <c r="AB188" s="371"/>
      <c r="AC188" s="370"/>
      <c r="AD188" s="371"/>
      <c r="AE188" s="371"/>
      <c r="AF188" s="371"/>
      <c r="AG188" s="370"/>
      <c r="AH188" s="376"/>
      <c r="AI188" s="372"/>
      <c r="AK188" s="377"/>
      <c r="AL188" s="377"/>
      <c r="AM188" s="377"/>
      <c r="AN188" s="377"/>
      <c r="AO188" s="372"/>
      <c r="AP188" s="377"/>
      <c r="AQ188" s="377"/>
      <c r="AT188" s="694">
        <f t="shared" si="473"/>
        <v>0</v>
      </c>
    </row>
    <row r="189" spans="2:46" ht="20.100000000000001" customHeight="1" x14ac:dyDescent="0.3">
      <c r="B189" s="92"/>
      <c r="C189" s="95" t="s">
        <v>33</v>
      </c>
      <c r="D189" s="98">
        <v>0.66700000000000004</v>
      </c>
      <c r="E189" s="92">
        <v>1</v>
      </c>
      <c r="F189" s="92">
        <v>1</v>
      </c>
      <c r="G189" s="555">
        <f>(5.173+7.713+3.617)*3.281</f>
        <v>54.146343000000002</v>
      </c>
      <c r="H189" s="98">
        <f>+D189</f>
        <v>0.66700000000000004</v>
      </c>
      <c r="I189" s="94">
        <v>2</v>
      </c>
      <c r="J189" s="99">
        <v>3</v>
      </c>
      <c r="K189" s="100">
        <f>+IF(D189=0.667,E189*F189*G189*H189*J189,0)</f>
        <v>108.346832343</v>
      </c>
      <c r="L189" s="100">
        <f>+IF(D189=0.333,E189*F189*G189*J189,0)</f>
        <v>0</v>
      </c>
      <c r="M189" s="99">
        <v>4</v>
      </c>
      <c r="N189" s="100">
        <f>+IF(D189=0.667,E189*F189*G189*H189*M189,0)</f>
        <v>144.462443124</v>
      </c>
      <c r="O189" s="100">
        <f>+IF(D189=0.333,E189*F189*G189*M189,0)</f>
        <v>0</v>
      </c>
      <c r="P189" s="27">
        <f>11.833-I189-M189-J189</f>
        <v>2.8330000000000002</v>
      </c>
      <c r="Q189" s="100">
        <f>+IF(D189=0.667,E189*F189*G189*H189*P189,0)</f>
        <v>102.31552534257301</v>
      </c>
      <c r="R189" s="100">
        <f>+IF(D189=0.333,E189*F189*G189*P189,0)</f>
        <v>0</v>
      </c>
      <c r="S189" s="101">
        <f t="shared" ref="S189:T193" si="576">+Q189+N189+K189</f>
        <v>355.124800809573</v>
      </c>
      <c r="T189" s="101">
        <f t="shared" si="576"/>
        <v>0</v>
      </c>
      <c r="U189" s="92"/>
      <c r="V189" s="91"/>
      <c r="W189" s="102"/>
      <c r="X189" s="98"/>
      <c r="Y189" s="102"/>
      <c r="Z189" s="98"/>
      <c r="AA189" s="98"/>
      <c r="AB189" s="98"/>
      <c r="AC189" s="91"/>
      <c r="AD189" s="98"/>
      <c r="AE189" s="98"/>
      <c r="AF189" s="98"/>
      <c r="AG189" s="91"/>
      <c r="AH189" s="305">
        <v>1</v>
      </c>
      <c r="AI189" s="299">
        <f>+AH189*G189*D189*0.17</f>
        <v>6.1396538327700005</v>
      </c>
      <c r="AK189" s="301">
        <f t="shared" ref="AK189" si="577">+IF(D189=0.667,E189*F189*G189,0)</f>
        <v>54.146343000000002</v>
      </c>
      <c r="AL189" s="301">
        <f t="shared" ref="AL189:AL193" si="578">+IF(D189=0.333,E189*F189*G189,0)</f>
        <v>0</v>
      </c>
      <c r="AM189" s="301"/>
      <c r="AN189" s="301">
        <f>+IF(D189=0.333,1.33,0)</f>
        <v>0</v>
      </c>
      <c r="AO189" s="299"/>
      <c r="AP189" s="301"/>
      <c r="AQ189" s="301"/>
      <c r="AT189" s="694">
        <f t="shared" si="473"/>
        <v>54.146343000000002</v>
      </c>
    </row>
    <row r="190" spans="2:46" ht="20.100000000000001" customHeight="1" x14ac:dyDescent="0.3">
      <c r="B190" s="92"/>
      <c r="C190" s="95" t="s">
        <v>347</v>
      </c>
      <c r="D190" s="98">
        <v>0.66700000000000004</v>
      </c>
      <c r="E190" s="92">
        <v>-1</v>
      </c>
      <c r="F190" s="92">
        <v>4</v>
      </c>
      <c r="G190" s="98">
        <v>6</v>
      </c>
      <c r="H190" s="98">
        <f t="shared" ref="H190" si="579">+D190</f>
        <v>0.66700000000000004</v>
      </c>
      <c r="I190" s="94"/>
      <c r="J190" s="99"/>
      <c r="K190" s="100">
        <f t="shared" ref="K190" si="580">+IF(D190=0.667,E190*F190*G190*H190*J190,0)</f>
        <v>0</v>
      </c>
      <c r="L190" s="100">
        <f t="shared" ref="L190" si="581">+IF(D190=0.333,E190*F190*G190*J190,0)</f>
        <v>0</v>
      </c>
      <c r="M190" s="99">
        <v>4</v>
      </c>
      <c r="N190" s="100">
        <f t="shared" ref="N190" si="582">+IF(D190=0.667,E190*F190*G190*H190*M190,0)</f>
        <v>-64.032000000000011</v>
      </c>
      <c r="O190" s="100">
        <f t="shared" ref="O190" si="583">+IF(D190=0.333,E190*F190*G190*M190,0)</f>
        <v>0</v>
      </c>
      <c r="P190" s="27">
        <v>0</v>
      </c>
      <c r="Q190" s="100">
        <f t="shared" ref="Q190" si="584">+IF(D190=0.667,E190*F190*G190*H190*P190,0)</f>
        <v>0</v>
      </c>
      <c r="R190" s="100">
        <f t="shared" ref="R190" si="585">+IF(D190=0.333,E190*F190*G190*P190,0)</f>
        <v>0</v>
      </c>
      <c r="S190" s="101">
        <f t="shared" si="576"/>
        <v>-64.032000000000011</v>
      </c>
      <c r="T190" s="101">
        <f t="shared" si="576"/>
        <v>0</v>
      </c>
      <c r="U190" s="92"/>
      <c r="V190" s="91"/>
      <c r="W190" s="102">
        <f>+G190+D190</f>
        <v>6.6669999999999998</v>
      </c>
      <c r="X190" s="98">
        <v>0.5</v>
      </c>
      <c r="Y190" s="102">
        <f>+IF(D190=0.667,-E190*F190*H190*W190*X190,0)</f>
        <v>8.8937780000000011</v>
      </c>
      <c r="Z190" s="98">
        <f>+IF(D190=0.333,-E190*F190*H190*W190*X190,0)</f>
        <v>0</v>
      </c>
      <c r="AA190" s="98">
        <f>+F190*G190*H190</f>
        <v>16.008000000000003</v>
      </c>
      <c r="AB190" s="98">
        <f t="shared" ref="AB190" si="586">2*F190*W190*X190</f>
        <v>26.667999999999999</v>
      </c>
      <c r="AC190" s="91"/>
      <c r="AD190" s="98">
        <v>0.16700000000000001</v>
      </c>
      <c r="AE190" s="98">
        <f t="shared" ref="AE190" si="587">+IF(D190=0.667,AD190*W190*H190*F190,0)</f>
        <v>2.9705218520000001</v>
      </c>
      <c r="AF190" s="98">
        <f t="shared" ref="AF190" si="588">+IF(D190=0.333,AD190*W190*H190*F190,0)</f>
        <v>0</v>
      </c>
      <c r="AG190" s="91"/>
      <c r="AH190" s="305"/>
      <c r="AI190" s="299">
        <f t="shared" ref="AI190" si="589">+AH190*G190*D190*0.17</f>
        <v>0</v>
      </c>
      <c r="AK190" s="301"/>
      <c r="AL190" s="301">
        <f t="shared" si="578"/>
        <v>0</v>
      </c>
      <c r="AM190" s="301"/>
      <c r="AN190" s="301"/>
      <c r="AO190" s="299"/>
      <c r="AP190" s="301"/>
      <c r="AQ190" s="301"/>
      <c r="AT190" s="694">
        <f t="shared" si="473"/>
        <v>-24</v>
      </c>
    </row>
    <row r="191" spans="2:46" ht="20.100000000000001" customHeight="1" x14ac:dyDescent="0.3">
      <c r="B191" s="92"/>
      <c r="C191" s="95" t="s">
        <v>31</v>
      </c>
      <c r="D191" s="98">
        <v>0.66700000000000004</v>
      </c>
      <c r="E191" s="688">
        <f>1*0</f>
        <v>0</v>
      </c>
      <c r="F191" s="688">
        <f>1*0</f>
        <v>0</v>
      </c>
      <c r="G191" s="98">
        <f>(10.917+2.537)*3.281</f>
        <v>44.142574000000003</v>
      </c>
      <c r="H191" s="98">
        <f>+D191</f>
        <v>0.66700000000000004</v>
      </c>
      <c r="I191" s="94">
        <v>2</v>
      </c>
      <c r="J191" s="99">
        <v>3</v>
      </c>
      <c r="K191" s="100">
        <f>+IF(D191=0.667,E191*F191*G191*H191*J191,0)</f>
        <v>0</v>
      </c>
      <c r="L191" s="100">
        <f>+IF(D191=0.333,E191*F191*G191*J191,0)</f>
        <v>0</v>
      </c>
      <c r="M191" s="99">
        <v>4</v>
      </c>
      <c r="N191" s="100">
        <f>+IF(D191=0.667,E191*F191*G191*H191*M191,0)</f>
        <v>0</v>
      </c>
      <c r="O191" s="100">
        <f>+IF(D191=0.333,E191*F191*G191*M191,0)</f>
        <v>0</v>
      </c>
      <c r="P191" s="27">
        <f>11.833-I191-M191-J191</f>
        <v>2.8330000000000002</v>
      </c>
      <c r="Q191" s="100">
        <f>+IF(D191=0.667,E191*F191*G191*H191*P191,0)</f>
        <v>0</v>
      </c>
      <c r="R191" s="100">
        <f>+IF(D191=0.333,E191*F191*G191*P191,0)</f>
        <v>0</v>
      </c>
      <c r="S191" s="555"/>
      <c r="T191" s="101">
        <f t="shared" si="576"/>
        <v>0</v>
      </c>
      <c r="U191" s="92"/>
      <c r="V191" s="91"/>
      <c r="W191" s="102"/>
      <c r="X191" s="98"/>
      <c r="Y191" s="102"/>
      <c r="Z191" s="98"/>
      <c r="AA191" s="98"/>
      <c r="AB191" s="98"/>
      <c r="AC191" s="91"/>
      <c r="AD191" s="98"/>
      <c r="AE191" s="98"/>
      <c r="AF191" s="98"/>
      <c r="AG191" s="91"/>
      <c r="AH191" s="305">
        <v>1</v>
      </c>
      <c r="AI191" s="299">
        <f>+AH191*G191*D191*0.17</f>
        <v>5.0053264658600014</v>
      </c>
      <c r="AK191" s="301">
        <f t="shared" ref="AK191:AK193" si="590">+IF(D191=0.667,E191*F191*G191,0)</f>
        <v>0</v>
      </c>
      <c r="AL191" s="301">
        <f t="shared" si="578"/>
        <v>0</v>
      </c>
      <c r="AM191" s="301"/>
      <c r="AN191" s="301">
        <f>+IF(D191=0.333,1.33,0)</f>
        <v>0</v>
      </c>
      <c r="AO191" s="299"/>
      <c r="AP191" s="301"/>
      <c r="AQ191" s="301"/>
      <c r="AT191" s="694">
        <f t="shared" si="473"/>
        <v>0</v>
      </c>
    </row>
    <row r="192" spans="2:46" ht="20.100000000000001" customHeight="1" x14ac:dyDescent="0.3">
      <c r="B192" s="92"/>
      <c r="C192" s="95" t="s">
        <v>335</v>
      </c>
      <c r="D192" s="98">
        <v>0.66700000000000004</v>
      </c>
      <c r="E192" s="688">
        <f>-1*0</f>
        <v>0</v>
      </c>
      <c r="F192" s="688">
        <f>1*0</f>
        <v>0</v>
      </c>
      <c r="G192" s="98">
        <f>3.5+3.5</f>
        <v>7</v>
      </c>
      <c r="H192" s="98">
        <f>+D192</f>
        <v>0.66700000000000004</v>
      </c>
      <c r="I192" s="102"/>
      <c r="J192" s="99">
        <v>3</v>
      </c>
      <c r="K192" s="100">
        <f>+IF(D192=0.667,E192*F192*G192*H192*J192,0)</f>
        <v>0</v>
      </c>
      <c r="L192" s="100">
        <f>+IF(D192=0.333,E192*F192*G192*J192,0)</f>
        <v>0</v>
      </c>
      <c r="M192" s="99">
        <v>4</v>
      </c>
      <c r="N192" s="100">
        <f>+IF(D192=0.667,E192*F192*G192*H192*M192,0)</f>
        <v>0</v>
      </c>
      <c r="O192" s="100">
        <f>+IF(D192=0.333,E192*F192*G192*M192,0)</f>
        <v>0</v>
      </c>
      <c r="P192" s="590">
        <v>0.5</v>
      </c>
      <c r="Q192" s="100">
        <f>+IF(D192=0.667,E192*F192*G192*H192*P192,0)</f>
        <v>0</v>
      </c>
      <c r="R192" s="100">
        <f>+IF(D192=0.333,E192*F192*G192*P192,0)</f>
        <v>0</v>
      </c>
      <c r="S192" s="555"/>
      <c r="T192" s="101">
        <f t="shared" si="576"/>
        <v>0</v>
      </c>
      <c r="U192" s="92"/>
      <c r="V192" s="91"/>
      <c r="W192" s="98">
        <f>+G192+D192*2</f>
        <v>8.3339999999999996</v>
      </c>
      <c r="X192" s="98">
        <v>0.5</v>
      </c>
      <c r="Y192" s="98">
        <f>+IF(D192=0.667,-E192*F192*H192*W192*X192,0)</f>
        <v>0</v>
      </c>
      <c r="Z192" s="98">
        <f>+IF(D192=0.333,-E192*F192*H192*W192*X192,0)</f>
        <v>0</v>
      </c>
      <c r="AA192" s="98">
        <f>+F192*G192*H192</f>
        <v>0</v>
      </c>
      <c r="AB192" s="98">
        <f t="shared" ref="AB192" si="591">2*F192*W192*X192</f>
        <v>0</v>
      </c>
      <c r="AC192" s="91"/>
      <c r="AD192" s="98"/>
      <c r="AE192" s="98">
        <f>+IF(D192=0.667,AD192*W192*H192*F192,0)</f>
        <v>0</v>
      </c>
      <c r="AF192" s="98">
        <f>+IF(D192=0.333,AD192*W192*H192*F192,0)</f>
        <v>0</v>
      </c>
      <c r="AG192" s="91"/>
      <c r="AH192" s="304"/>
      <c r="AI192" s="299">
        <f>+AH192*G192*D192*0.17</f>
        <v>0</v>
      </c>
      <c r="AK192" s="301">
        <f t="shared" si="590"/>
        <v>0</v>
      </c>
      <c r="AL192" s="301">
        <f t="shared" si="578"/>
        <v>0</v>
      </c>
      <c r="AM192" s="301">
        <f>+IF(D192=0.667,1.33,0)</f>
        <v>1.33</v>
      </c>
      <c r="AN192" s="301"/>
      <c r="AO192" s="299"/>
      <c r="AP192" s="301"/>
      <c r="AQ192" s="301"/>
      <c r="AT192" s="694">
        <f t="shared" si="473"/>
        <v>0</v>
      </c>
    </row>
    <row r="193" spans="2:46" ht="20.100000000000001" customHeight="1" x14ac:dyDescent="0.3">
      <c r="B193" s="92"/>
      <c r="C193" s="95" t="s">
        <v>32</v>
      </c>
      <c r="D193" s="98">
        <v>0.66700000000000004</v>
      </c>
      <c r="E193" s="688">
        <f>1*0</f>
        <v>0</v>
      </c>
      <c r="F193" s="688">
        <f>1*0</f>
        <v>0</v>
      </c>
      <c r="G193" s="98">
        <f>(5.099+7.649+0.981+7.64)*3.281</f>
        <v>70.111688999999998</v>
      </c>
      <c r="H193" s="98">
        <f>+D193</f>
        <v>0.66700000000000004</v>
      </c>
      <c r="I193" s="94">
        <v>2</v>
      </c>
      <c r="J193" s="99">
        <v>3</v>
      </c>
      <c r="K193" s="100">
        <f>+IF(D193=0.667,E193*F193*G193*H193*J193,0)</f>
        <v>0</v>
      </c>
      <c r="L193" s="100">
        <f>+IF(D193=0.333,E193*F193*G193*J193,0)</f>
        <v>0</v>
      </c>
      <c r="M193" s="99">
        <v>4</v>
      </c>
      <c r="N193" s="100">
        <f>+IF(D193=0.667,E193*F193*G193*H193*M193,0)</f>
        <v>0</v>
      </c>
      <c r="O193" s="100">
        <f>+IF(D193=0.333,E193*F193*G193*M193,0)</f>
        <v>0</v>
      </c>
      <c r="P193" s="27">
        <f>11.833-I193-M193-J193</f>
        <v>2.8330000000000002</v>
      </c>
      <c r="Q193" s="100">
        <f>+IF(D193=0.667,E193*F193*G193*H193*P193,0)</f>
        <v>0</v>
      </c>
      <c r="R193" s="100">
        <f>+IF(D193=0.333,E193*F193*G193*P193,0)</f>
        <v>0</v>
      </c>
      <c r="S193" s="555"/>
      <c r="T193" s="101">
        <f t="shared" si="576"/>
        <v>0</v>
      </c>
      <c r="U193" s="92"/>
      <c r="V193" s="91"/>
      <c r="W193" s="102"/>
      <c r="X193" s="98"/>
      <c r="Y193" s="102"/>
      <c r="Z193" s="98"/>
      <c r="AA193" s="98"/>
      <c r="AB193" s="98"/>
      <c r="AC193" s="91"/>
      <c r="AD193" s="98"/>
      <c r="AE193" s="98"/>
      <c r="AF193" s="98"/>
      <c r="AG193" s="91"/>
      <c r="AH193" s="305">
        <v>1</v>
      </c>
      <c r="AI193" s="299">
        <f>+AH193*G193*D193*0.17</f>
        <v>7.9499644157100011</v>
      </c>
      <c r="AK193" s="301">
        <f t="shared" si="590"/>
        <v>0</v>
      </c>
      <c r="AL193" s="301">
        <f t="shared" si="578"/>
        <v>0</v>
      </c>
      <c r="AM193" s="301"/>
      <c r="AN193" s="301">
        <f>+IF(D193=0.333,1.33,0)</f>
        <v>0</v>
      </c>
      <c r="AO193" s="299"/>
      <c r="AP193" s="301"/>
      <c r="AQ193" s="301"/>
      <c r="AT193" s="694">
        <f t="shared" si="473"/>
        <v>0</v>
      </c>
    </row>
    <row r="194" spans="2:46" ht="20.100000000000001" customHeight="1" x14ac:dyDescent="0.3">
      <c r="B194" s="369"/>
      <c r="C194" s="395"/>
      <c r="D194" s="371"/>
      <c r="E194" s="369"/>
      <c r="F194" s="369"/>
      <c r="G194" s="371"/>
      <c r="H194" s="371"/>
      <c r="I194" s="372"/>
      <c r="J194" s="371"/>
      <c r="K194" s="371"/>
      <c r="L194" s="371"/>
      <c r="M194" s="371"/>
      <c r="N194" s="371"/>
      <c r="O194" s="371"/>
      <c r="P194" s="633"/>
      <c r="Q194" s="371"/>
      <c r="R194" s="371"/>
      <c r="S194" s="371"/>
      <c r="T194" s="371"/>
      <c r="U194" s="369"/>
      <c r="V194" s="370"/>
      <c r="W194" s="372"/>
      <c r="X194" s="371"/>
      <c r="Y194" s="372"/>
      <c r="Z194" s="371"/>
      <c r="AA194" s="371"/>
      <c r="AB194" s="371"/>
      <c r="AC194" s="370"/>
      <c r="AD194" s="371"/>
      <c r="AE194" s="371"/>
      <c r="AF194" s="371"/>
      <c r="AG194" s="370"/>
      <c r="AH194" s="376"/>
      <c r="AI194" s="372"/>
      <c r="AK194" s="377"/>
      <c r="AL194" s="377"/>
      <c r="AM194" s="377"/>
      <c r="AN194" s="377"/>
      <c r="AO194" s="372"/>
      <c r="AP194" s="377"/>
      <c r="AQ194" s="377"/>
      <c r="AT194" s="694">
        <f t="shared" si="473"/>
        <v>0</v>
      </c>
    </row>
    <row r="195" spans="2:46" ht="20.100000000000001" customHeight="1" x14ac:dyDescent="0.3">
      <c r="B195" s="369"/>
      <c r="C195" s="97" t="s">
        <v>387</v>
      </c>
      <c r="D195" s="371"/>
      <c r="E195" s="369"/>
      <c r="F195" s="369"/>
      <c r="G195" s="371"/>
      <c r="H195" s="371"/>
      <c r="I195" s="372"/>
      <c r="J195" s="371"/>
      <c r="K195" s="371"/>
      <c r="L195" s="371"/>
      <c r="M195" s="371"/>
      <c r="N195" s="371"/>
      <c r="O195" s="371"/>
      <c r="P195" s="633"/>
      <c r="Q195" s="371"/>
      <c r="R195" s="371"/>
      <c r="S195" s="371"/>
      <c r="T195" s="371"/>
      <c r="U195" s="369"/>
      <c r="V195" s="370"/>
      <c r="W195" s="372"/>
      <c r="X195" s="371"/>
      <c r="Y195" s="372"/>
      <c r="Z195" s="371"/>
      <c r="AA195" s="371"/>
      <c r="AB195" s="371"/>
      <c r="AC195" s="370"/>
      <c r="AD195" s="371"/>
      <c r="AE195" s="371"/>
      <c r="AF195" s="371"/>
      <c r="AG195" s="370"/>
      <c r="AH195" s="376"/>
      <c r="AI195" s="372"/>
      <c r="AK195" s="377"/>
      <c r="AL195" s="377"/>
      <c r="AM195" s="377"/>
      <c r="AN195" s="377"/>
      <c r="AO195" s="372"/>
      <c r="AP195" s="377"/>
      <c r="AQ195" s="377"/>
      <c r="AT195" s="694">
        <f t="shared" si="473"/>
        <v>0</v>
      </c>
    </row>
    <row r="196" spans="2:46" ht="20.100000000000001" customHeight="1" x14ac:dyDescent="0.3">
      <c r="B196" s="92"/>
      <c r="C196" s="95" t="s">
        <v>33</v>
      </c>
      <c r="D196" s="98">
        <v>0.66700000000000004</v>
      </c>
      <c r="E196" s="92">
        <v>1</v>
      </c>
      <c r="F196" s="92">
        <v>1</v>
      </c>
      <c r="G196" s="555">
        <f>(4.098+8.165+7.763)*3.281</f>
        <v>65.705305999999993</v>
      </c>
      <c r="H196" s="98">
        <f>+D196</f>
        <v>0.66700000000000004</v>
      </c>
      <c r="I196" s="94">
        <v>2</v>
      </c>
      <c r="J196" s="99">
        <v>3</v>
      </c>
      <c r="K196" s="100">
        <f>+IF(D196=0.667,E196*F196*G196*H196*J196,0)</f>
        <v>131.476317306</v>
      </c>
      <c r="L196" s="100">
        <f>+IF(D196=0.333,E196*F196*G196*J196,0)</f>
        <v>0</v>
      </c>
      <c r="M196" s="99">
        <v>4</v>
      </c>
      <c r="N196" s="100">
        <f>+IF(D196=0.667,E196*F196*G196*H196*M196,0)</f>
        <v>175.30175640799999</v>
      </c>
      <c r="O196" s="100">
        <f>+IF(D196=0.333,E196*F196*G196*M196,0)</f>
        <v>0</v>
      </c>
      <c r="P196" s="27">
        <f>11.833-I196-M196-J196</f>
        <v>2.8330000000000002</v>
      </c>
      <c r="Q196" s="100">
        <f>+IF(D196=0.667,E196*F196*G196*H196*P196,0)</f>
        <v>124.157468975966</v>
      </c>
      <c r="R196" s="100">
        <f>+IF(D196=0.333,E196*F196*G196*P196,0)</f>
        <v>0</v>
      </c>
      <c r="S196" s="101">
        <f t="shared" ref="S196:T201" si="592">+Q196+N196+K196</f>
        <v>430.93554268996598</v>
      </c>
      <c r="T196" s="101">
        <f t="shared" si="592"/>
        <v>0</v>
      </c>
      <c r="U196" s="92"/>
      <c r="V196" s="91"/>
      <c r="W196" s="102"/>
      <c r="X196" s="98"/>
      <c r="Y196" s="102"/>
      <c r="Z196" s="98"/>
      <c r="AA196" s="98"/>
      <c r="AB196" s="98"/>
      <c r="AC196" s="91"/>
      <c r="AD196" s="98"/>
      <c r="AE196" s="98"/>
      <c r="AF196" s="98"/>
      <c r="AG196" s="91"/>
      <c r="AH196" s="305">
        <v>1</v>
      </c>
      <c r="AI196" s="299">
        <f>+AH196*G196*D196*0.17</f>
        <v>7.4503246473400004</v>
      </c>
      <c r="AK196" s="301">
        <f t="shared" ref="AK196" si="593">+IF(D196=0.667,E196*F196*G196,0)</f>
        <v>65.705305999999993</v>
      </c>
      <c r="AL196" s="301">
        <f t="shared" ref="AL196:AL201" si="594">+IF(D196=0.333,E196*F196*G196,0)</f>
        <v>0</v>
      </c>
      <c r="AM196" s="301"/>
      <c r="AN196" s="301">
        <f>+IF(D196=0.333,1.33,0)</f>
        <v>0</v>
      </c>
      <c r="AO196" s="299"/>
      <c r="AP196" s="301"/>
      <c r="AQ196" s="301"/>
      <c r="AT196" s="694">
        <f t="shared" si="473"/>
        <v>65.705305999999993</v>
      </c>
    </row>
    <row r="197" spans="2:46" ht="20.100000000000001" customHeight="1" x14ac:dyDescent="0.3">
      <c r="B197" s="92"/>
      <c r="C197" s="95" t="s">
        <v>347</v>
      </c>
      <c r="D197" s="98">
        <v>0.66700000000000004</v>
      </c>
      <c r="E197" s="92">
        <v>-1</v>
      </c>
      <c r="F197" s="92">
        <v>5</v>
      </c>
      <c r="G197" s="555">
        <v>6</v>
      </c>
      <c r="H197" s="98">
        <f t="shared" ref="H197" si="595">+D197</f>
        <v>0.66700000000000004</v>
      </c>
      <c r="I197" s="94"/>
      <c r="J197" s="99"/>
      <c r="K197" s="100">
        <f t="shared" ref="K197" si="596">+IF(D197=0.667,E197*F197*G197*H197*J197,0)</f>
        <v>0</v>
      </c>
      <c r="L197" s="100">
        <f t="shared" ref="L197" si="597">+IF(D197=0.333,E197*F197*G197*J197,0)</f>
        <v>0</v>
      </c>
      <c r="M197" s="99">
        <v>4</v>
      </c>
      <c r="N197" s="100">
        <f t="shared" ref="N197" si="598">+IF(D197=0.667,E197*F197*G197*H197*M197,0)</f>
        <v>-80.040000000000006</v>
      </c>
      <c r="O197" s="100">
        <f t="shared" ref="O197" si="599">+IF(D197=0.333,E197*F197*G197*M197,0)</f>
        <v>0</v>
      </c>
      <c r="P197" s="27">
        <v>0</v>
      </c>
      <c r="Q197" s="100">
        <f t="shared" ref="Q197" si="600">+IF(D197=0.667,E197*F197*G197*H197*P197,0)</f>
        <v>0</v>
      </c>
      <c r="R197" s="100">
        <f t="shared" ref="R197" si="601">+IF(D197=0.333,E197*F197*G197*P197,0)</f>
        <v>0</v>
      </c>
      <c r="S197" s="101">
        <f t="shared" si="592"/>
        <v>-80.040000000000006</v>
      </c>
      <c r="T197" s="101">
        <f t="shared" si="592"/>
        <v>0</v>
      </c>
      <c r="U197" s="92"/>
      <c r="V197" s="91"/>
      <c r="W197" s="102">
        <f>+G197+D197</f>
        <v>6.6669999999999998</v>
      </c>
      <c r="X197" s="98">
        <v>0.5</v>
      </c>
      <c r="Y197" s="102">
        <f>+IF(D197=0.667,-E197*F197*H197*W197*X197,0)</f>
        <v>11.1172225</v>
      </c>
      <c r="Z197" s="98">
        <f>+IF(D197=0.333,-E197*F197*H197*W197*X197,0)</f>
        <v>0</v>
      </c>
      <c r="AA197" s="98">
        <f>+F197*G197*H197</f>
        <v>20.010000000000002</v>
      </c>
      <c r="AB197" s="98">
        <f t="shared" ref="AB197" si="602">2*F197*W197*X197</f>
        <v>33.335000000000001</v>
      </c>
      <c r="AC197" s="91"/>
      <c r="AD197" s="98">
        <v>0.16700000000000001</v>
      </c>
      <c r="AE197" s="98">
        <f t="shared" ref="AE197" si="603">+IF(D197=0.667,AD197*W197*H197*F197,0)</f>
        <v>3.7131523150000003</v>
      </c>
      <c r="AF197" s="98">
        <f t="shared" ref="AF197" si="604">+IF(D197=0.333,AD197*W197*H197*F197,0)</f>
        <v>0</v>
      </c>
      <c r="AG197" s="91"/>
      <c r="AH197" s="305"/>
      <c r="AI197" s="299">
        <f t="shared" ref="AI197" si="605">+AH197*G197*D197*0.17</f>
        <v>0</v>
      </c>
      <c r="AK197" s="301"/>
      <c r="AL197" s="301">
        <f t="shared" si="594"/>
        <v>0</v>
      </c>
      <c r="AM197" s="301"/>
      <c r="AN197" s="301"/>
      <c r="AO197" s="299"/>
      <c r="AP197" s="301"/>
      <c r="AQ197" s="301"/>
      <c r="AT197" s="694">
        <f t="shared" si="473"/>
        <v>-30</v>
      </c>
    </row>
    <row r="198" spans="2:46" ht="20.100000000000001" customHeight="1" x14ac:dyDescent="0.3">
      <c r="B198" s="92"/>
      <c r="C198" s="95" t="s">
        <v>31</v>
      </c>
      <c r="D198" s="98">
        <v>0.66700000000000004</v>
      </c>
      <c r="E198" s="92">
        <v>1</v>
      </c>
      <c r="F198" s="92">
        <v>1</v>
      </c>
      <c r="G198" s="555">
        <f>(6.785+5.38+4.6)*3.281</f>
        <v>55.005965000000003</v>
      </c>
      <c r="H198" s="98">
        <f>+D198</f>
        <v>0.66700000000000004</v>
      </c>
      <c r="I198" s="94">
        <v>2</v>
      </c>
      <c r="J198" s="99">
        <v>3</v>
      </c>
      <c r="K198" s="100">
        <f>+IF(D198=0.667,E198*F198*G198*H198*J198,0)</f>
        <v>110.06693596500003</v>
      </c>
      <c r="L198" s="100">
        <f>+IF(D198=0.333,E198*F198*G198*J198,0)</f>
        <v>0</v>
      </c>
      <c r="M198" s="99">
        <v>4</v>
      </c>
      <c r="N198" s="100">
        <f>+IF(D198=0.667,E198*F198*G198*H198*M198,0)</f>
        <v>146.75591462000003</v>
      </c>
      <c r="O198" s="100">
        <f>+IF(D198=0.333,E198*F198*G198*M198,0)</f>
        <v>0</v>
      </c>
      <c r="P198" s="27">
        <f>11.833-I198-M198-J198</f>
        <v>2.8330000000000002</v>
      </c>
      <c r="Q198" s="100">
        <f>+IF(D198=0.667,E198*F198*G198*H198*P198,0)</f>
        <v>103.93987652961502</v>
      </c>
      <c r="R198" s="100">
        <f>+IF(D198=0.333,E198*F198*G198*P198,0)</f>
        <v>0</v>
      </c>
      <c r="S198" s="101">
        <f t="shared" si="592"/>
        <v>360.76272711461507</v>
      </c>
      <c r="T198" s="101">
        <f t="shared" si="592"/>
        <v>0</v>
      </c>
      <c r="U198" s="92"/>
      <c r="V198" s="91"/>
      <c r="W198" s="102"/>
      <c r="X198" s="98"/>
      <c r="Y198" s="102"/>
      <c r="Z198" s="98"/>
      <c r="AA198" s="98"/>
      <c r="AB198" s="98"/>
      <c r="AC198" s="91"/>
      <c r="AD198" s="98"/>
      <c r="AE198" s="98"/>
      <c r="AF198" s="98"/>
      <c r="AG198" s="91"/>
      <c r="AH198" s="305">
        <v>1</v>
      </c>
      <c r="AI198" s="299">
        <f>+AH198*G198*D198*0.17</f>
        <v>6.2371263713500014</v>
      </c>
      <c r="AK198" s="301">
        <f t="shared" ref="AK198:AK201" si="606">+IF(D198=0.667,E198*F198*G198,0)</f>
        <v>55.005965000000003</v>
      </c>
      <c r="AL198" s="301">
        <f t="shared" si="594"/>
        <v>0</v>
      </c>
      <c r="AM198" s="301"/>
      <c r="AN198" s="301">
        <f>+IF(D198=0.333,1.33,0)</f>
        <v>0</v>
      </c>
      <c r="AO198" s="299"/>
      <c r="AP198" s="301"/>
      <c r="AQ198" s="301"/>
      <c r="AT198" s="694">
        <f t="shared" si="473"/>
        <v>55.005965000000003</v>
      </c>
    </row>
    <row r="199" spans="2:46" ht="20.100000000000001" customHeight="1" x14ac:dyDescent="0.3">
      <c r="B199" s="92"/>
      <c r="C199" s="95" t="s">
        <v>347</v>
      </c>
      <c r="D199" s="98">
        <v>0.66700000000000004</v>
      </c>
      <c r="E199" s="92">
        <v>-1</v>
      </c>
      <c r="F199" s="92">
        <v>1</v>
      </c>
      <c r="G199" s="555">
        <v>6</v>
      </c>
      <c r="H199" s="98">
        <f t="shared" ref="H199" si="607">+D199</f>
        <v>0.66700000000000004</v>
      </c>
      <c r="I199" s="94"/>
      <c r="J199" s="99"/>
      <c r="K199" s="100">
        <f t="shared" ref="K199" si="608">+IF(D199=0.667,E199*F199*G199*H199*J199,0)</f>
        <v>0</v>
      </c>
      <c r="L199" s="100">
        <f t="shared" ref="L199" si="609">+IF(D199=0.333,E199*F199*G199*J199,0)</f>
        <v>0</v>
      </c>
      <c r="M199" s="99">
        <v>4</v>
      </c>
      <c r="N199" s="100">
        <f t="shared" ref="N199" si="610">+IF(D199=0.667,E199*F199*G199*H199*M199,0)</f>
        <v>-16.008000000000003</v>
      </c>
      <c r="O199" s="100">
        <f t="shared" ref="O199" si="611">+IF(D199=0.333,E199*F199*G199*M199,0)</f>
        <v>0</v>
      </c>
      <c r="P199" s="27">
        <v>0</v>
      </c>
      <c r="Q199" s="100">
        <f t="shared" ref="Q199" si="612">+IF(D199=0.667,E199*F199*G199*H199*P199,0)</f>
        <v>0</v>
      </c>
      <c r="R199" s="100">
        <f t="shared" ref="R199" si="613">+IF(D199=0.333,E199*F199*G199*P199,0)</f>
        <v>0</v>
      </c>
      <c r="S199" s="101">
        <f t="shared" si="592"/>
        <v>-16.008000000000003</v>
      </c>
      <c r="T199" s="101">
        <f t="shared" si="592"/>
        <v>0</v>
      </c>
      <c r="U199" s="92"/>
      <c r="V199" s="91"/>
      <c r="W199" s="102">
        <f>+G199+D199</f>
        <v>6.6669999999999998</v>
      </c>
      <c r="X199" s="98">
        <v>0.5</v>
      </c>
      <c r="Y199" s="102">
        <f>+IF(D199=0.667,-E199*F199*H199*W199*X199,0)</f>
        <v>2.2234445000000003</v>
      </c>
      <c r="Z199" s="98">
        <f>+IF(D199=0.333,-E199*F199*H199*W199*X199,0)</f>
        <v>0</v>
      </c>
      <c r="AA199" s="98">
        <f>+F199*G199*H199</f>
        <v>4.0020000000000007</v>
      </c>
      <c r="AB199" s="98">
        <f t="shared" ref="AB199" si="614">2*F199*W199*X199</f>
        <v>6.6669999999999998</v>
      </c>
      <c r="AC199" s="91"/>
      <c r="AD199" s="98">
        <v>0.16700000000000001</v>
      </c>
      <c r="AE199" s="98">
        <f t="shared" ref="AE199" si="615">+IF(D199=0.667,AD199*W199*H199*F199,0)</f>
        <v>0.74263046300000002</v>
      </c>
      <c r="AF199" s="98">
        <f t="shared" ref="AF199" si="616">+IF(D199=0.333,AD199*W199*H199*F199,0)</f>
        <v>0</v>
      </c>
      <c r="AG199" s="91"/>
      <c r="AH199" s="305"/>
      <c r="AI199" s="299">
        <f t="shared" ref="AI199" si="617">+AH199*G199*D199*0.17</f>
        <v>0</v>
      </c>
      <c r="AK199" s="301"/>
      <c r="AL199" s="301">
        <f t="shared" si="594"/>
        <v>0</v>
      </c>
      <c r="AM199" s="301"/>
      <c r="AN199" s="301"/>
      <c r="AO199" s="299"/>
      <c r="AP199" s="301"/>
      <c r="AQ199" s="301"/>
      <c r="AT199" s="694">
        <f t="shared" si="473"/>
        <v>-6</v>
      </c>
    </row>
    <row r="200" spans="2:46" ht="20.100000000000001" customHeight="1" x14ac:dyDescent="0.3">
      <c r="B200" s="92"/>
      <c r="C200" s="95" t="s">
        <v>32</v>
      </c>
      <c r="D200" s="98">
        <v>0.66700000000000004</v>
      </c>
      <c r="E200" s="92">
        <f>1</f>
        <v>1</v>
      </c>
      <c r="F200" s="92">
        <f>1</f>
        <v>1</v>
      </c>
      <c r="G200" s="555">
        <f>(15.78*0+11.916)*3.281</f>
        <v>39.096396000000006</v>
      </c>
      <c r="H200" s="98">
        <f>+D200</f>
        <v>0.66700000000000004</v>
      </c>
      <c r="I200" s="94">
        <v>2</v>
      </c>
      <c r="J200" s="99">
        <v>3</v>
      </c>
      <c r="K200" s="100">
        <f>+IF(D200=0.667,E200*F200*G200*H200*J200,0)</f>
        <v>78.231888396000016</v>
      </c>
      <c r="L200" s="100">
        <f>+IF(D200=0.333,E200*F200*G200*J200,0)</f>
        <v>0</v>
      </c>
      <c r="M200" s="99">
        <v>4</v>
      </c>
      <c r="N200" s="100">
        <f>+IF(D200=0.667,E200*F200*G200*H200*M200,0)</f>
        <v>104.30918452800002</v>
      </c>
      <c r="O200" s="100">
        <f>+IF(D200=0.333,E200*F200*G200*M200,0)</f>
        <v>0</v>
      </c>
      <c r="P200" s="27">
        <f>11.833-I200-M200-J200</f>
        <v>2.8330000000000002</v>
      </c>
      <c r="Q200" s="100">
        <f>+IF(D200=0.667,E200*F200*G200*H200*P200,0)</f>
        <v>73.876979941956023</v>
      </c>
      <c r="R200" s="100">
        <f>+IF(D200=0.333,E200*F200*G200*P200,0)</f>
        <v>0</v>
      </c>
      <c r="S200" s="101">
        <f t="shared" si="592"/>
        <v>256.41805286595604</v>
      </c>
      <c r="T200" s="101">
        <f t="shared" si="592"/>
        <v>0</v>
      </c>
      <c r="U200" s="92"/>
      <c r="V200" s="91"/>
      <c r="W200" s="102"/>
      <c r="X200" s="98"/>
      <c r="Y200" s="102"/>
      <c r="Z200" s="98"/>
      <c r="AA200" s="98"/>
      <c r="AB200" s="98"/>
      <c r="AC200" s="91"/>
      <c r="AD200" s="98"/>
      <c r="AE200" s="98"/>
      <c r="AF200" s="98"/>
      <c r="AG200" s="91"/>
      <c r="AH200" s="305">
        <v>1</v>
      </c>
      <c r="AI200" s="299">
        <f>+AH200*G200*D200*0.17</f>
        <v>4.4331403424400007</v>
      </c>
      <c r="AK200" s="301">
        <f t="shared" si="606"/>
        <v>39.096396000000006</v>
      </c>
      <c r="AL200" s="301">
        <f t="shared" si="594"/>
        <v>0</v>
      </c>
      <c r="AM200" s="301"/>
      <c r="AN200" s="301">
        <f>+IF(D200=0.333,1.33,0)</f>
        <v>0</v>
      </c>
      <c r="AO200" s="299"/>
      <c r="AP200" s="301"/>
      <c r="AQ200" s="301"/>
      <c r="AT200" s="694">
        <f t="shared" ref="AT200:AT263" si="618">+E200*F200*G200</f>
        <v>39.096396000000006</v>
      </c>
    </row>
    <row r="201" spans="2:46" ht="20.100000000000001" customHeight="1" x14ac:dyDescent="0.3">
      <c r="B201" s="92"/>
      <c r="C201" s="95" t="s">
        <v>335</v>
      </c>
      <c r="D201" s="98">
        <v>0.66700000000000004</v>
      </c>
      <c r="E201" s="92">
        <f>-1</f>
        <v>-1</v>
      </c>
      <c r="F201" s="92">
        <v>2</v>
      </c>
      <c r="G201" s="555">
        <f>3.5+3.5</f>
        <v>7</v>
      </c>
      <c r="H201" s="98">
        <f>+D201</f>
        <v>0.66700000000000004</v>
      </c>
      <c r="I201" s="102"/>
      <c r="J201" s="99">
        <v>3</v>
      </c>
      <c r="K201" s="100">
        <f>+IF(D201=0.667,E201*F201*G201*H201*J201,0)</f>
        <v>-28.014000000000003</v>
      </c>
      <c r="L201" s="100">
        <f>+IF(D201=0.333,E201*F201*G201*J201,0)</f>
        <v>0</v>
      </c>
      <c r="M201" s="99">
        <v>4</v>
      </c>
      <c r="N201" s="100">
        <f>+IF(D201=0.667,E201*F201*G201*H201*M201,0)</f>
        <v>-37.352000000000004</v>
      </c>
      <c r="O201" s="100">
        <f>+IF(D201=0.333,E201*F201*G201*M201,0)</f>
        <v>0</v>
      </c>
      <c r="P201" s="590">
        <v>0.5</v>
      </c>
      <c r="Q201" s="100">
        <f>+IF(D201=0.667,E201*F201*G201*H201*P201,0)</f>
        <v>-4.6690000000000005</v>
      </c>
      <c r="R201" s="100">
        <f>+IF(D201=0.333,E201*F201*G201*P201,0)</f>
        <v>0</v>
      </c>
      <c r="S201" s="101">
        <f t="shared" si="592"/>
        <v>-70.034999999999997</v>
      </c>
      <c r="T201" s="101">
        <f t="shared" si="592"/>
        <v>0</v>
      </c>
      <c r="U201" s="92"/>
      <c r="V201" s="91"/>
      <c r="W201" s="98">
        <f>+G201+D201*2</f>
        <v>8.3339999999999996</v>
      </c>
      <c r="X201" s="98">
        <v>0.5</v>
      </c>
      <c r="Y201" s="98">
        <f>+IF(D201=0.667,-E201*F201*H201*W201*X201,0)</f>
        <v>5.5587780000000002</v>
      </c>
      <c r="Z201" s="98">
        <f>+IF(D201=0.333,-E201*F201*H201*W201*X201,0)</f>
        <v>0</v>
      </c>
      <c r="AA201" s="98">
        <f>+F201*G201*H201</f>
        <v>9.338000000000001</v>
      </c>
      <c r="AB201" s="98">
        <f t="shared" ref="AB201" si="619">2*F201*W201*X201</f>
        <v>16.667999999999999</v>
      </c>
      <c r="AC201" s="91"/>
      <c r="AD201" s="98"/>
      <c r="AE201" s="98">
        <f>+IF(D201=0.667,AD201*W201*H201*F201,0)</f>
        <v>0</v>
      </c>
      <c r="AF201" s="98">
        <f>+IF(D201=0.333,AD201*W201*H201*F201,0)</f>
        <v>0</v>
      </c>
      <c r="AG201" s="91"/>
      <c r="AH201" s="304"/>
      <c r="AI201" s="299">
        <f>+AH201*G201*D201*0.17</f>
        <v>0</v>
      </c>
      <c r="AK201" s="301">
        <f t="shared" si="606"/>
        <v>-14</v>
      </c>
      <c r="AL201" s="301">
        <f t="shared" si="594"/>
        <v>0</v>
      </c>
      <c r="AM201" s="301">
        <f>+IF(D201=0.667,1.33,0)</f>
        <v>1.33</v>
      </c>
      <c r="AN201" s="301"/>
      <c r="AO201" s="299"/>
      <c r="AP201" s="301"/>
      <c r="AQ201" s="301"/>
      <c r="AT201" s="694">
        <f t="shared" si="618"/>
        <v>-14</v>
      </c>
    </row>
    <row r="202" spans="2:46" ht="20.100000000000001" customHeight="1" x14ac:dyDescent="0.3">
      <c r="B202" s="677"/>
      <c r="C202" s="678" t="s">
        <v>351</v>
      </c>
      <c r="D202" s="98">
        <v>0.66700000000000004</v>
      </c>
      <c r="E202" s="92">
        <v>1</v>
      </c>
      <c r="F202" s="92">
        <v>1</v>
      </c>
      <c r="G202" s="555">
        <f>(3.819+2.3+4.06+2.4)*3.281</f>
        <v>41.271698999999998</v>
      </c>
      <c r="H202" s="98">
        <f>+D202</f>
        <v>0.66700000000000004</v>
      </c>
      <c r="I202" s="102"/>
      <c r="J202" s="99">
        <v>3</v>
      </c>
      <c r="K202" s="100">
        <f>+IF(D202=0.667,E202*F202*G202*H202*J202,0)</f>
        <v>82.584669699000003</v>
      </c>
      <c r="L202" s="100">
        <f>+IF(D202=0.333,E202*F202*G202*J202,0)</f>
        <v>0</v>
      </c>
      <c r="M202" s="99">
        <v>4</v>
      </c>
      <c r="N202" s="100">
        <f>+IF(D202=0.667,E202*F202*G202*H202*M202,0)</f>
        <v>110.11289293200001</v>
      </c>
      <c r="O202" s="100">
        <f>+IF(D202=0.333,E202*F202*G202*M202,0)</f>
        <v>0</v>
      </c>
      <c r="P202" s="27">
        <f>11.833-I202-M202-J202</f>
        <v>4.8330000000000002</v>
      </c>
      <c r="Q202" s="100">
        <f>+IF(D202=0.667,E202*F202*G202*H202*P202,0)</f>
        <v>133.04390288508901</v>
      </c>
      <c r="R202" s="100">
        <f>+IF(D202=0.333,E202*F202*G202*P202,0)</f>
        <v>0</v>
      </c>
      <c r="S202" s="101">
        <f t="shared" ref="S202" si="620">+Q202+N202+K202</f>
        <v>325.74146551608902</v>
      </c>
      <c r="T202" s="101">
        <f t="shared" ref="T202" si="621">+R202+O202+L202</f>
        <v>0</v>
      </c>
      <c r="U202" s="677"/>
      <c r="V202" s="682"/>
      <c r="W202" s="679"/>
      <c r="X202" s="679"/>
      <c r="Y202" s="679"/>
      <c r="Z202" s="679"/>
      <c r="AA202" s="679"/>
      <c r="AB202" s="679"/>
      <c r="AC202" s="682"/>
      <c r="AD202" s="679"/>
      <c r="AE202" s="679"/>
      <c r="AF202" s="679"/>
      <c r="AG202" s="682"/>
      <c r="AH202" s="686"/>
      <c r="AI202" s="683"/>
      <c r="AK202" s="685"/>
      <c r="AL202" s="685"/>
      <c r="AM202" s="685"/>
      <c r="AN202" s="685"/>
      <c r="AO202" s="683"/>
      <c r="AP202" s="685"/>
      <c r="AQ202" s="685"/>
      <c r="AT202" s="694">
        <f t="shared" si="618"/>
        <v>41.271698999999998</v>
      </c>
    </row>
    <row r="203" spans="2:46" ht="20.100000000000001" customHeight="1" x14ac:dyDescent="0.3">
      <c r="B203" s="369"/>
      <c r="C203" s="395"/>
      <c r="D203" s="371"/>
      <c r="E203" s="369"/>
      <c r="F203" s="369"/>
      <c r="G203" s="371"/>
      <c r="H203" s="371"/>
      <c r="I203" s="372"/>
      <c r="J203" s="371"/>
      <c r="K203" s="371"/>
      <c r="L203" s="371"/>
      <c r="M203" s="371"/>
      <c r="N203" s="371"/>
      <c r="O203" s="371"/>
      <c r="P203" s="633"/>
      <c r="Q203" s="371"/>
      <c r="R203" s="371"/>
      <c r="S203" s="371"/>
      <c r="T203" s="371"/>
      <c r="U203" s="369"/>
      <c r="V203" s="370"/>
      <c r="W203" s="372"/>
      <c r="X203" s="371"/>
      <c r="Y203" s="372"/>
      <c r="Z203" s="371"/>
      <c r="AA203" s="371"/>
      <c r="AB203" s="371"/>
      <c r="AC203" s="370"/>
      <c r="AD203" s="371"/>
      <c r="AE203" s="371"/>
      <c r="AF203" s="371"/>
      <c r="AG203" s="370"/>
      <c r="AH203" s="376"/>
      <c r="AI203" s="372"/>
      <c r="AK203" s="377"/>
      <c r="AL203" s="377"/>
      <c r="AM203" s="377"/>
      <c r="AN203" s="377"/>
      <c r="AO203" s="372"/>
      <c r="AP203" s="377"/>
      <c r="AQ203" s="377"/>
      <c r="AT203" s="694">
        <f t="shared" si="618"/>
        <v>0</v>
      </c>
    </row>
    <row r="204" spans="2:46" ht="20.100000000000001" customHeight="1" x14ac:dyDescent="0.3">
      <c r="B204" s="369"/>
      <c r="C204" s="97" t="s">
        <v>336</v>
      </c>
      <c r="D204" s="371"/>
      <c r="E204" s="369"/>
      <c r="F204" s="369"/>
      <c r="G204" s="371"/>
      <c r="H204" s="371"/>
      <c r="I204" s="372"/>
      <c r="J204" s="371"/>
      <c r="K204" s="371"/>
      <c r="L204" s="371"/>
      <c r="M204" s="371"/>
      <c r="N204" s="371"/>
      <c r="O204" s="371"/>
      <c r="P204" s="633"/>
      <c r="Q204" s="371"/>
      <c r="R204" s="371"/>
      <c r="S204" s="371"/>
      <c r="T204" s="371"/>
      <c r="U204" s="369"/>
      <c r="V204" s="370"/>
      <c r="W204" s="372"/>
      <c r="X204" s="371"/>
      <c r="Y204" s="372"/>
      <c r="Z204" s="371"/>
      <c r="AA204" s="371"/>
      <c r="AB204" s="371"/>
      <c r="AC204" s="370"/>
      <c r="AD204" s="371"/>
      <c r="AE204" s="371"/>
      <c r="AF204" s="371"/>
      <c r="AG204" s="370"/>
      <c r="AH204" s="376"/>
      <c r="AI204" s="372"/>
      <c r="AK204" s="377"/>
      <c r="AL204" s="377"/>
      <c r="AM204" s="377"/>
      <c r="AN204" s="377"/>
      <c r="AO204" s="372"/>
      <c r="AP204" s="377"/>
      <c r="AQ204" s="377"/>
      <c r="AT204" s="694">
        <f t="shared" si="618"/>
        <v>0</v>
      </c>
    </row>
    <row r="205" spans="2:46" ht="20.100000000000001" customHeight="1" x14ac:dyDescent="0.3">
      <c r="B205" s="92"/>
      <c r="C205" s="95" t="s">
        <v>33</v>
      </c>
      <c r="D205" s="98">
        <v>0.66700000000000004</v>
      </c>
      <c r="E205" s="92">
        <v>1</v>
      </c>
      <c r="F205" s="92">
        <v>1</v>
      </c>
      <c r="G205" s="555">
        <f>(5.82)*3.281</f>
        <v>19.095420000000001</v>
      </c>
      <c r="H205" s="98">
        <f>+D205</f>
        <v>0.66700000000000004</v>
      </c>
      <c r="I205" s="94">
        <v>2</v>
      </c>
      <c r="J205" s="99">
        <v>3</v>
      </c>
      <c r="K205" s="100">
        <f>+IF(D205=0.667,E205*F205*G205*H205*J205,0)</f>
        <v>38.209935420000008</v>
      </c>
      <c r="L205" s="100">
        <f>+IF(D205=0.333,E205*F205*G205*J205,0)</f>
        <v>0</v>
      </c>
      <c r="M205" s="99">
        <v>4</v>
      </c>
      <c r="N205" s="100">
        <f>+IF(D205=0.667,E205*F205*G205*H205*M205,0)</f>
        <v>50.946580560000008</v>
      </c>
      <c r="O205" s="100">
        <f>+IF(D205=0.333,E205*F205*G205*M205,0)</f>
        <v>0</v>
      </c>
      <c r="P205" s="27">
        <f t="shared" ref="P205:P206" si="622">11.833-I205-M205-J205</f>
        <v>2.8330000000000002</v>
      </c>
      <c r="Q205" s="100">
        <f>+IF(D205=0.667,E205*F205*G205*H205*P205,0)</f>
        <v>36.082915681620008</v>
      </c>
      <c r="R205" s="100">
        <f>+IF(D205=0.333,E205*F205*G205*P205,0)</f>
        <v>0</v>
      </c>
      <c r="S205" s="101">
        <f t="shared" ref="S205:T208" si="623">+Q205+N205+K205</f>
        <v>125.23943166162003</v>
      </c>
      <c r="T205" s="101">
        <f t="shared" si="623"/>
        <v>0</v>
      </c>
      <c r="U205" s="92"/>
      <c r="V205" s="91"/>
      <c r="W205" s="102"/>
      <c r="X205" s="98"/>
      <c r="Y205" s="102"/>
      <c r="Z205" s="98"/>
      <c r="AA205" s="98"/>
      <c r="AB205" s="98"/>
      <c r="AC205" s="91"/>
      <c r="AD205" s="98"/>
      <c r="AE205" s="98"/>
      <c r="AF205" s="98"/>
      <c r="AG205" s="91"/>
      <c r="AH205" s="305">
        <v>1</v>
      </c>
      <c r="AI205" s="299">
        <f>+AH205*G205*D205*0.17</f>
        <v>2.1652296738000003</v>
      </c>
      <c r="AK205" s="301">
        <f t="shared" ref="AK205:AK208" si="624">+IF(D205=0.667,E205*F205*G205,0)</f>
        <v>19.095420000000001</v>
      </c>
      <c r="AL205" s="301">
        <f t="shared" ref="AL205:AL208" si="625">+IF(D205=0.333,E205*F205*G205,0)</f>
        <v>0</v>
      </c>
      <c r="AM205" s="301"/>
      <c r="AN205" s="301">
        <f>+IF(D205=0.333,1.33,0)</f>
        <v>0</v>
      </c>
      <c r="AO205" s="299"/>
      <c r="AP205" s="301"/>
      <c r="AQ205" s="301"/>
      <c r="AT205" s="694">
        <f t="shared" si="618"/>
        <v>19.095420000000001</v>
      </c>
    </row>
    <row r="206" spans="2:46" ht="20.100000000000001" customHeight="1" x14ac:dyDescent="0.3">
      <c r="B206" s="92"/>
      <c r="C206" s="95" t="s">
        <v>32</v>
      </c>
      <c r="D206" s="98">
        <v>0.66700000000000004</v>
      </c>
      <c r="E206" s="92">
        <v>1</v>
      </c>
      <c r="F206" s="92">
        <v>1</v>
      </c>
      <c r="G206" s="555">
        <f>(5.62)*3.281</f>
        <v>18.439220000000002</v>
      </c>
      <c r="H206" s="98">
        <f>+D206</f>
        <v>0.66700000000000004</v>
      </c>
      <c r="I206" s="94">
        <v>2</v>
      </c>
      <c r="J206" s="99">
        <v>3</v>
      </c>
      <c r="K206" s="100">
        <f>+IF(D206=0.667,E206*F206*G206*H206*J206,0)</f>
        <v>36.89687922000001</v>
      </c>
      <c r="L206" s="100">
        <f>+IF(D206=0.333,E206*F206*G206*J206,0)</f>
        <v>0</v>
      </c>
      <c r="M206" s="99">
        <v>4</v>
      </c>
      <c r="N206" s="100">
        <f>+IF(D206=0.667,E206*F206*G206*H206*M206,0)</f>
        <v>49.19583896000001</v>
      </c>
      <c r="O206" s="100">
        <f>+IF(D206=0.333,E206*F206*G206*M206,0)</f>
        <v>0</v>
      </c>
      <c r="P206" s="27">
        <f t="shared" si="622"/>
        <v>2.8330000000000002</v>
      </c>
      <c r="Q206" s="100">
        <f>+IF(D206=0.667,E206*F206*G206*H206*P206,0)</f>
        <v>34.842952943420009</v>
      </c>
      <c r="R206" s="100">
        <f>+IF(D206=0.333,E206*F206*G206*P206,0)</f>
        <v>0</v>
      </c>
      <c r="S206" s="101">
        <f t="shared" si="623"/>
        <v>120.93567112342004</v>
      </c>
      <c r="T206" s="101">
        <f t="shared" si="623"/>
        <v>0</v>
      </c>
      <c r="U206" s="92"/>
      <c r="V206" s="91"/>
      <c r="W206" s="102"/>
      <c r="X206" s="98"/>
      <c r="Y206" s="102"/>
      <c r="Z206" s="98"/>
      <c r="AA206" s="98"/>
      <c r="AB206" s="98"/>
      <c r="AC206" s="91"/>
      <c r="AD206" s="98"/>
      <c r="AE206" s="98"/>
      <c r="AF206" s="98"/>
      <c r="AG206" s="91"/>
      <c r="AH206" s="305">
        <v>1</v>
      </c>
      <c r="AI206" s="299">
        <f>+AH206*G206*D206*0.17</f>
        <v>2.0908231558000008</v>
      </c>
      <c r="AK206" s="301">
        <f t="shared" si="624"/>
        <v>18.439220000000002</v>
      </c>
      <c r="AL206" s="301">
        <f t="shared" si="625"/>
        <v>0</v>
      </c>
      <c r="AM206" s="301"/>
      <c r="AN206" s="301">
        <f>+IF(D206=0.333,1.33,0)</f>
        <v>0</v>
      </c>
      <c r="AO206" s="299"/>
      <c r="AP206" s="301"/>
      <c r="AQ206" s="301"/>
      <c r="AT206" s="694">
        <f t="shared" si="618"/>
        <v>18.439220000000002</v>
      </c>
    </row>
    <row r="207" spans="2:46" ht="20.100000000000001" customHeight="1" x14ac:dyDescent="0.3">
      <c r="B207" s="18"/>
      <c r="C207" s="62" t="s">
        <v>35</v>
      </c>
      <c r="D207" s="98">
        <v>0.66700000000000004</v>
      </c>
      <c r="E207" s="18">
        <v>-1</v>
      </c>
      <c r="F207" s="18">
        <v>1</v>
      </c>
      <c r="G207" s="555">
        <v>3.25</v>
      </c>
      <c r="H207" s="20">
        <f t="shared" ref="H207" si="626">+D207</f>
        <v>0.66700000000000004</v>
      </c>
      <c r="I207" s="21"/>
      <c r="J207" s="81">
        <v>3</v>
      </c>
      <c r="K207" s="103">
        <f t="shared" ref="K207" si="627">+IF(D207=0.667,E207*F207*G207*H207*J207,0)</f>
        <v>-6.5032500000000013</v>
      </c>
      <c r="L207" s="103">
        <f t="shared" ref="L207" si="628">+IF(D207=0.333,E207*F207*G207*J207,0)</f>
        <v>0</v>
      </c>
      <c r="M207" s="81">
        <v>4</v>
      </c>
      <c r="N207" s="103">
        <f t="shared" ref="N207" si="629">+IF(D207=0.667,E207*F207*G207*H207*M207,0)</f>
        <v>-8.6710000000000012</v>
      </c>
      <c r="O207" s="103">
        <f t="shared" ref="O207" si="630">+IF(D207=0.333,E207*F207*G207*M207,0)</f>
        <v>0</v>
      </c>
      <c r="P207" s="27"/>
      <c r="Q207" s="103">
        <f t="shared" ref="Q207" si="631">+IF(D207=0.667,E207*F207*G207*H207*P207,0)</f>
        <v>0</v>
      </c>
      <c r="R207" s="103">
        <f t="shared" ref="R207" si="632">+IF(D207=0.333,E207*F207*G207*P207,0)</f>
        <v>0</v>
      </c>
      <c r="S207" s="104">
        <f t="shared" si="623"/>
        <v>-15.174250000000002</v>
      </c>
      <c r="T207" s="104">
        <f t="shared" si="623"/>
        <v>0</v>
      </c>
      <c r="U207" s="18"/>
      <c r="V207" s="26"/>
      <c r="W207" s="21">
        <f>+G207+D207</f>
        <v>3.9169999999999998</v>
      </c>
      <c r="X207" s="21">
        <v>0.5</v>
      </c>
      <c r="Y207" s="21">
        <f>+IF(D207=0.667,-E207*F207*H207*W207*X207,0)</f>
        <v>1.3063195000000001</v>
      </c>
      <c r="Z207" s="21">
        <f>+IF(D207=0.333,-E207*F207*H207*W207*X207,0)</f>
        <v>0</v>
      </c>
      <c r="AA207" s="21">
        <f>+F207*G207*H207</f>
        <v>2.1677500000000003</v>
      </c>
      <c r="AB207" s="21">
        <f t="shared" ref="AB207" si="633">2*F207*W207*X207</f>
        <v>3.9169999999999998</v>
      </c>
      <c r="AC207" s="27"/>
      <c r="AD207" s="21"/>
      <c r="AE207" s="21">
        <f t="shared" ref="AE207" si="634">+IF(D207=0.667,AD207*W207*H207*F207,0)</f>
        <v>0</v>
      </c>
      <c r="AF207" s="21">
        <f t="shared" ref="AF207" si="635">+IF(D207=0.333,AD207*W207*H207*F207,0)</f>
        <v>0</v>
      </c>
      <c r="AG207" s="27"/>
      <c r="AH207" s="396"/>
      <c r="AI207" s="21">
        <f t="shared" ref="AI207" si="636">+AH207*G207*D207*0.17</f>
        <v>0</v>
      </c>
      <c r="AK207" s="301">
        <f t="shared" si="624"/>
        <v>-3.25</v>
      </c>
      <c r="AL207" s="301">
        <f t="shared" si="625"/>
        <v>0</v>
      </c>
      <c r="AM207" s="450">
        <f>+IF(D207=0.667,1.33,0)</f>
        <v>1.33</v>
      </c>
      <c r="AN207" s="301">
        <f>+IF(D207=0.333,1.33,0)</f>
        <v>0</v>
      </c>
      <c r="AO207" s="299"/>
      <c r="AP207" s="301"/>
      <c r="AQ207" s="301"/>
      <c r="AT207" s="694">
        <f t="shared" si="618"/>
        <v>-3.25</v>
      </c>
    </row>
    <row r="208" spans="2:46" ht="20.100000000000001" customHeight="1" x14ac:dyDescent="0.3">
      <c r="B208" s="92"/>
      <c r="C208" s="95" t="s">
        <v>43</v>
      </c>
      <c r="D208" s="98">
        <v>0.66700000000000004</v>
      </c>
      <c r="E208" s="92">
        <v>1</v>
      </c>
      <c r="F208" s="92">
        <v>1</v>
      </c>
      <c r="G208" s="555">
        <f>(4.2+1.1)*3.281</f>
        <v>17.389300000000002</v>
      </c>
      <c r="H208" s="98">
        <f>+D208</f>
        <v>0.66700000000000004</v>
      </c>
      <c r="I208" s="94">
        <v>2</v>
      </c>
      <c r="J208" s="99">
        <v>3</v>
      </c>
      <c r="K208" s="100">
        <f>+IF(D208=0.667,E208*F208*G208*H208*J208,0)</f>
        <v>34.795989300000002</v>
      </c>
      <c r="L208" s="100">
        <f>+IF(D208=0.333,E208*F208*G208*J208,0)</f>
        <v>0</v>
      </c>
      <c r="M208" s="99">
        <v>4</v>
      </c>
      <c r="N208" s="100">
        <f>+IF(D208=0.667,E208*F208*G208*H208*M208,0)</f>
        <v>46.394652400000005</v>
      </c>
      <c r="O208" s="100">
        <f>+IF(D208=0.333,E208*F208*G208*M208,0)</f>
        <v>0</v>
      </c>
      <c r="P208" s="27">
        <f t="shared" ref="P208:P209" si="637">11.833-I208-M208-J208</f>
        <v>2.8330000000000002</v>
      </c>
      <c r="Q208" s="100">
        <f>+IF(D208=0.667,E208*F208*G208*H208*P208,0)</f>
        <v>32.859012562300009</v>
      </c>
      <c r="R208" s="100">
        <f>+IF(D208=0.333,E208*F208*G208*P208,0)</f>
        <v>0</v>
      </c>
      <c r="S208" s="101">
        <f t="shared" si="623"/>
        <v>114.04965426230001</v>
      </c>
      <c r="T208" s="101">
        <f t="shared" si="623"/>
        <v>0</v>
      </c>
      <c r="U208" s="92"/>
      <c r="V208" s="91"/>
      <c r="W208" s="102"/>
      <c r="X208" s="98"/>
      <c r="Y208" s="102"/>
      <c r="Z208" s="98"/>
      <c r="AA208" s="98"/>
      <c r="AB208" s="98"/>
      <c r="AC208" s="91"/>
      <c r="AD208" s="98"/>
      <c r="AE208" s="98"/>
      <c r="AF208" s="98"/>
      <c r="AG208" s="91"/>
      <c r="AH208" s="305">
        <v>1</v>
      </c>
      <c r="AI208" s="299">
        <f>+AH208*G208*D208*0.17</f>
        <v>1.9717727270000003</v>
      </c>
      <c r="AK208" s="301">
        <f t="shared" si="624"/>
        <v>17.389300000000002</v>
      </c>
      <c r="AL208" s="301">
        <f t="shared" si="625"/>
        <v>0</v>
      </c>
      <c r="AM208" s="301"/>
      <c r="AN208" s="301">
        <f>+IF(D208=0.333,1.33,0)</f>
        <v>0</v>
      </c>
      <c r="AO208" s="299"/>
      <c r="AP208" s="301"/>
      <c r="AQ208" s="301"/>
      <c r="AT208" s="694">
        <f t="shared" si="618"/>
        <v>17.389300000000002</v>
      </c>
    </row>
    <row r="209" spans="2:46" ht="20.100000000000001" customHeight="1" x14ac:dyDescent="0.3">
      <c r="B209" s="92"/>
      <c r="C209" s="95" t="s">
        <v>38</v>
      </c>
      <c r="D209" s="98">
        <v>0.66700000000000004</v>
      </c>
      <c r="E209" s="92">
        <v>1</v>
      </c>
      <c r="F209" s="92">
        <v>1</v>
      </c>
      <c r="G209" s="555">
        <f>(4.57)*3.281</f>
        <v>14.994170000000002</v>
      </c>
      <c r="H209" s="98">
        <f>+D209</f>
        <v>0.66700000000000004</v>
      </c>
      <c r="I209" s="94">
        <v>2</v>
      </c>
      <c r="J209" s="99">
        <v>3</v>
      </c>
      <c r="K209" s="100">
        <f>+IF(D209=0.667,E209*F209*G209*H209*J209,0)</f>
        <v>30.003334170000006</v>
      </c>
      <c r="L209" s="100">
        <f>+IF(D209=0.333,E209*F209*G209*J209,0)</f>
        <v>0</v>
      </c>
      <c r="M209" s="99">
        <v>4</v>
      </c>
      <c r="N209" s="100">
        <f>+IF(D209=0.667,E209*F209*G209*H209*M209,0)</f>
        <v>40.004445560000008</v>
      </c>
      <c r="O209" s="100">
        <f>+IF(D209=0.333,E209*F209*G209*M209,0)</f>
        <v>0</v>
      </c>
      <c r="P209" s="27">
        <f t="shared" si="637"/>
        <v>2.8330000000000002</v>
      </c>
      <c r="Q209" s="100">
        <f>+IF(D209=0.667,E209*F209*G209*H209*P209,0)</f>
        <v>28.333148567870008</v>
      </c>
      <c r="R209" s="100">
        <f>+IF(D209=0.333,E209*F209*G209*P209,0)</f>
        <v>0</v>
      </c>
      <c r="S209" s="101">
        <f t="shared" ref="S209" si="638">+Q209+N209+K209</f>
        <v>98.340928297870022</v>
      </c>
      <c r="T209" s="101">
        <f t="shared" ref="T209" si="639">+R209+O209+L209</f>
        <v>0</v>
      </c>
      <c r="U209" s="92"/>
      <c r="V209" s="91"/>
      <c r="W209" s="102"/>
      <c r="X209" s="98"/>
      <c r="Y209" s="102"/>
      <c r="Z209" s="98"/>
      <c r="AA209" s="98"/>
      <c r="AB209" s="98"/>
      <c r="AC209" s="91"/>
      <c r="AD209" s="98"/>
      <c r="AE209" s="98"/>
      <c r="AF209" s="98"/>
      <c r="AG209" s="91"/>
      <c r="AH209" s="305">
        <v>1</v>
      </c>
      <c r="AI209" s="299">
        <f>+AH209*G209*D209*0.17</f>
        <v>1.7001889363000005</v>
      </c>
      <c r="AK209" s="301">
        <f t="shared" ref="AK209" si="640">+IF(D209=0.667,E209*F209*G209,0)</f>
        <v>14.994170000000002</v>
      </c>
      <c r="AL209" s="301">
        <f t="shared" ref="AL209" si="641">+IF(D209=0.333,E209*F209*G209,0)</f>
        <v>0</v>
      </c>
      <c r="AM209" s="301"/>
      <c r="AN209" s="301">
        <f>+IF(D209=0.333,1.33,0)</f>
        <v>0</v>
      </c>
      <c r="AO209" s="299"/>
      <c r="AP209" s="301"/>
      <c r="AQ209" s="301"/>
      <c r="AT209" s="694">
        <f t="shared" si="618"/>
        <v>14.994170000000002</v>
      </c>
    </row>
    <row r="210" spans="2:46" ht="20.100000000000001" customHeight="1" x14ac:dyDescent="0.3">
      <c r="B210" s="369"/>
      <c r="C210" s="395"/>
      <c r="D210" s="371"/>
      <c r="E210" s="369"/>
      <c r="F210" s="369"/>
      <c r="G210" s="371"/>
      <c r="H210" s="371"/>
      <c r="I210" s="372"/>
      <c r="J210" s="371"/>
      <c r="K210" s="371"/>
      <c r="L210" s="371"/>
      <c r="M210" s="371"/>
      <c r="N210" s="371"/>
      <c r="O210" s="371"/>
      <c r="P210" s="633"/>
      <c r="Q210" s="371"/>
      <c r="R210" s="371"/>
      <c r="S210" s="371"/>
      <c r="T210" s="371"/>
      <c r="U210" s="369"/>
      <c r="V210" s="370"/>
      <c r="W210" s="372"/>
      <c r="X210" s="371"/>
      <c r="Y210" s="372"/>
      <c r="Z210" s="371"/>
      <c r="AA210" s="371"/>
      <c r="AB210" s="371"/>
      <c r="AC210" s="370"/>
      <c r="AD210" s="371"/>
      <c r="AE210" s="371"/>
      <c r="AF210" s="371"/>
      <c r="AG210" s="370"/>
      <c r="AH210" s="376"/>
      <c r="AI210" s="372"/>
      <c r="AK210" s="377"/>
      <c r="AL210" s="377"/>
      <c r="AM210" s="377"/>
      <c r="AN210" s="377"/>
      <c r="AO210" s="372"/>
      <c r="AP210" s="377"/>
      <c r="AQ210" s="377"/>
      <c r="AT210" s="694">
        <f t="shared" si="618"/>
        <v>0</v>
      </c>
    </row>
    <row r="211" spans="2:46" ht="20.100000000000001" customHeight="1" x14ac:dyDescent="0.3">
      <c r="B211" s="369"/>
      <c r="C211" s="97" t="s">
        <v>363</v>
      </c>
      <c r="D211" s="371"/>
      <c r="E211" s="369"/>
      <c r="F211" s="369"/>
      <c r="G211" s="371"/>
      <c r="H211" s="371"/>
      <c r="I211" s="372"/>
      <c r="J211" s="371"/>
      <c r="K211" s="371"/>
      <c r="L211" s="371"/>
      <c r="M211" s="371"/>
      <c r="N211" s="371"/>
      <c r="O211" s="371"/>
      <c r="P211" s="633"/>
      <c r="Q211" s="371"/>
      <c r="R211" s="371"/>
      <c r="S211" s="371"/>
      <c r="T211" s="371"/>
      <c r="U211" s="369"/>
      <c r="V211" s="370"/>
      <c r="W211" s="372"/>
      <c r="X211" s="371"/>
      <c r="Y211" s="372"/>
      <c r="Z211" s="371"/>
      <c r="AA211" s="371"/>
      <c r="AB211" s="371"/>
      <c r="AC211" s="370"/>
      <c r="AD211" s="371"/>
      <c r="AE211" s="371"/>
      <c r="AF211" s="371"/>
      <c r="AG211" s="370"/>
      <c r="AH211" s="376"/>
      <c r="AI211" s="372"/>
      <c r="AK211" s="377"/>
      <c r="AL211" s="377"/>
      <c r="AM211" s="377"/>
      <c r="AN211" s="377"/>
      <c r="AO211" s="372"/>
      <c r="AP211" s="377"/>
      <c r="AQ211" s="377"/>
      <c r="AT211" s="694">
        <f t="shared" si="618"/>
        <v>0</v>
      </c>
    </row>
    <row r="212" spans="2:46" ht="20.100000000000001" customHeight="1" x14ac:dyDescent="0.3">
      <c r="B212" s="92"/>
      <c r="C212" s="95" t="s">
        <v>31</v>
      </c>
      <c r="D212" s="98">
        <v>0.66700000000000004</v>
      </c>
      <c r="E212" s="688">
        <f>1*0</f>
        <v>0</v>
      </c>
      <c r="F212" s="688">
        <f>1*0</f>
        <v>0</v>
      </c>
      <c r="G212" s="98">
        <f>(4.607)*3.281</f>
        <v>15.115567000000002</v>
      </c>
      <c r="H212" s="98">
        <f>+D212</f>
        <v>0.66700000000000004</v>
      </c>
      <c r="I212" s="94">
        <v>2</v>
      </c>
      <c r="J212" s="99">
        <v>3</v>
      </c>
      <c r="K212" s="100">
        <f>+IF(D212=0.667,E212*F212*G212*H212*J212,0)</f>
        <v>0</v>
      </c>
      <c r="L212" s="100">
        <f>+IF(D212=0.333,E212*F212*G212*J212,0)</f>
        <v>0</v>
      </c>
      <c r="M212" s="99">
        <v>4</v>
      </c>
      <c r="N212" s="100">
        <f>+IF(D212=0.667,E212*F212*G212*H212*M212,0)</f>
        <v>0</v>
      </c>
      <c r="O212" s="100">
        <f>+IF(D212=0.333,E212*F212*G212*M212,0)</f>
        <v>0</v>
      </c>
      <c r="P212" s="27">
        <f>11.833-I212-M212-J212</f>
        <v>2.8330000000000002</v>
      </c>
      <c r="Q212" s="100">
        <f>+IF(D212=0.667,E212*F212*G212*H212*P212,0)</f>
        <v>0</v>
      </c>
      <c r="R212" s="100">
        <f>+IF(D212=0.333,E212*F212*G212*P212,0)</f>
        <v>0</v>
      </c>
      <c r="S212" s="101">
        <f t="shared" ref="S212:T224" si="642">+Q212+N212+K212</f>
        <v>0</v>
      </c>
      <c r="T212" s="101">
        <f t="shared" si="642"/>
        <v>0</v>
      </c>
      <c r="U212" s="92"/>
      <c r="V212" s="91"/>
      <c r="W212" s="102"/>
      <c r="X212" s="98"/>
      <c r="Y212" s="102"/>
      <c r="Z212" s="98"/>
      <c r="AA212" s="98"/>
      <c r="AB212" s="98"/>
      <c r="AC212" s="91"/>
      <c r="AD212" s="98"/>
      <c r="AE212" s="98"/>
      <c r="AF212" s="98"/>
      <c r="AG212" s="91"/>
      <c r="AH212" s="305">
        <v>1</v>
      </c>
      <c r="AI212" s="299">
        <f>+AH212*G212*D212*0.17</f>
        <v>1.7139541421300004</v>
      </c>
      <c r="AK212" s="301">
        <f t="shared" ref="AK212" si="643">+IF(D212=0.667,E212*F212*G212,0)</f>
        <v>0</v>
      </c>
      <c r="AL212" s="301">
        <f t="shared" ref="AL212" si="644">+IF(D212=0.333,E212*F212*G212,0)</f>
        <v>0</v>
      </c>
      <c r="AM212" s="301"/>
      <c r="AN212" s="301">
        <f>+IF(D212=0.333,1.33,0)</f>
        <v>0</v>
      </c>
      <c r="AO212" s="299"/>
      <c r="AP212" s="301"/>
      <c r="AQ212" s="301"/>
      <c r="AT212" s="694">
        <f t="shared" si="618"/>
        <v>0</v>
      </c>
    </row>
    <row r="213" spans="2:46" ht="20.100000000000001" customHeight="1" x14ac:dyDescent="0.3">
      <c r="B213" s="18"/>
      <c r="C213" s="62" t="s">
        <v>48</v>
      </c>
      <c r="D213" s="298">
        <v>0.66700000000000004</v>
      </c>
      <c r="E213" s="689">
        <f>-1*0</f>
        <v>0</v>
      </c>
      <c r="F213" s="689">
        <f>1*0</f>
        <v>0</v>
      </c>
      <c r="G213" s="20">
        <v>5</v>
      </c>
      <c r="H213" s="20">
        <f t="shared" ref="H213" si="645">+D213</f>
        <v>0.66700000000000004</v>
      </c>
      <c r="I213" s="21"/>
      <c r="J213" s="81"/>
      <c r="K213" s="103">
        <f t="shared" ref="K213" si="646">+IF(D213=0.667,E213*F213*G213*H213*J213,0)</f>
        <v>0</v>
      </c>
      <c r="L213" s="103">
        <f t="shared" ref="L213" si="647">+IF(D213=0.333,E213*F213*G213*J213,0)</f>
        <v>0</v>
      </c>
      <c r="M213" s="81">
        <v>2.25</v>
      </c>
      <c r="N213" s="103">
        <f t="shared" ref="N213" si="648">+IF(D213=0.667,E213*F213*G213*H213*M213,0)</f>
        <v>0</v>
      </c>
      <c r="O213" s="103">
        <f t="shared" ref="O213" si="649">+IF(D213=0.333,E213*F213*G213*M213,0)</f>
        <v>0</v>
      </c>
      <c r="P213" s="27"/>
      <c r="Q213" s="103">
        <f t="shared" ref="Q213" si="650">+IF(D213=0.667,E213*F213*G213*H213*P213,0)</f>
        <v>0</v>
      </c>
      <c r="R213" s="103">
        <f t="shared" ref="R213" si="651">+IF(D213=0.333,E213*F213*G213*P213,0)</f>
        <v>0</v>
      </c>
      <c r="S213" s="104">
        <f t="shared" si="642"/>
        <v>0</v>
      </c>
      <c r="T213" s="104">
        <f t="shared" si="642"/>
        <v>0</v>
      </c>
      <c r="U213" s="18"/>
      <c r="V213" s="26"/>
      <c r="W213" s="21">
        <f>+G213+D213</f>
        <v>5.6669999999999998</v>
      </c>
      <c r="X213" s="21">
        <v>0.5</v>
      </c>
      <c r="Y213" s="21">
        <f>+IF(D213=0.667,-E213*F213*H213*W213*X213,0)</f>
        <v>0</v>
      </c>
      <c r="Z213" s="21">
        <f>+IF(D213=0.333,-E213*F213*H213*W213*X213,0)</f>
        <v>0</v>
      </c>
      <c r="AA213" s="21">
        <f>+F213*G213*H213</f>
        <v>0</v>
      </c>
      <c r="AB213" s="21">
        <f t="shared" ref="AB213" si="652">2*F213*W213*X213</f>
        <v>0</v>
      </c>
      <c r="AC213" s="27"/>
      <c r="AD213" s="21">
        <v>0.16700000000000001</v>
      </c>
      <c r="AE213" s="21">
        <f t="shared" ref="AE213" si="653">+IF(D213=0.667,AD213*W213*H213*F213,0)</f>
        <v>0</v>
      </c>
      <c r="AF213" s="21">
        <f t="shared" ref="AF213" si="654">+IF(D213=0.333,AD213*W213*H213*F213,0)</f>
        <v>0</v>
      </c>
      <c r="AG213" s="27"/>
      <c r="AH213" s="396"/>
      <c r="AI213" s="21">
        <f t="shared" ref="AI213" si="655">+AH213*G213*D213*0.17</f>
        <v>0</v>
      </c>
      <c r="AK213" s="301"/>
      <c r="AL213" s="301"/>
      <c r="AM213" s="301"/>
      <c r="AN213" s="301"/>
      <c r="AO213" s="299"/>
      <c r="AP213" s="301"/>
      <c r="AQ213" s="301"/>
      <c r="AT213" s="694">
        <f t="shared" si="618"/>
        <v>0</v>
      </c>
    </row>
    <row r="214" spans="2:46" ht="20.100000000000001" customHeight="1" x14ac:dyDescent="0.3">
      <c r="B214" s="92"/>
      <c r="C214" s="95" t="s">
        <v>32</v>
      </c>
      <c r="D214" s="98">
        <v>0.66700000000000004</v>
      </c>
      <c r="E214" s="92">
        <v>1</v>
      </c>
      <c r="F214" s="92">
        <v>1</v>
      </c>
      <c r="G214" s="555">
        <f>(3.08*0+7.425)*3.281</f>
        <v>24.361425000000001</v>
      </c>
      <c r="H214" s="98">
        <f>+D214</f>
        <v>0.66700000000000004</v>
      </c>
      <c r="I214" s="94">
        <v>2</v>
      </c>
      <c r="J214" s="99">
        <v>3</v>
      </c>
      <c r="K214" s="100">
        <f>+IF(D214=0.667,E214*F214*G214*H214*J214,0)</f>
        <v>48.747211425000003</v>
      </c>
      <c r="L214" s="100">
        <f>+IF(D214=0.333,E214*F214*G214*J214,0)</f>
        <v>0</v>
      </c>
      <c r="M214" s="99">
        <v>4</v>
      </c>
      <c r="N214" s="100">
        <f>+IF(D214=0.667,E214*F214*G214*H214*M214,0)</f>
        <v>64.9962819</v>
      </c>
      <c r="O214" s="100">
        <f>+IF(D214=0.333,E214*F214*G214*M214,0)</f>
        <v>0</v>
      </c>
      <c r="P214" s="27">
        <f>11.833-I214-M214-J214</f>
        <v>2.8330000000000002</v>
      </c>
      <c r="Q214" s="100">
        <f>+IF(D214=0.667,E214*F214*G214*H214*P214,0)</f>
        <v>46.033616655675004</v>
      </c>
      <c r="R214" s="100">
        <f>+IF(D214=0.333,E214*F214*G214*P214,0)</f>
        <v>0</v>
      </c>
      <c r="S214" s="101">
        <f t="shared" si="642"/>
        <v>159.77710998067499</v>
      </c>
      <c r="T214" s="101">
        <f t="shared" si="642"/>
        <v>0</v>
      </c>
      <c r="U214" s="92"/>
      <c r="V214" s="91"/>
      <c r="W214" s="102"/>
      <c r="X214" s="98"/>
      <c r="Y214" s="102"/>
      <c r="Z214" s="98"/>
      <c r="AA214" s="98"/>
      <c r="AB214" s="98"/>
      <c r="AC214" s="91"/>
      <c r="AD214" s="98"/>
      <c r="AE214" s="98"/>
      <c r="AF214" s="98"/>
      <c r="AG214" s="91"/>
      <c r="AH214" s="305">
        <v>1</v>
      </c>
      <c r="AI214" s="299">
        <f>+AH214*G214*D214*0.17</f>
        <v>2.76234198075</v>
      </c>
      <c r="AK214" s="301">
        <f t="shared" ref="AK214" si="656">+IF(D214=0.667,E214*F214*G214,0)</f>
        <v>24.361425000000001</v>
      </c>
      <c r="AL214" s="301">
        <f t="shared" ref="AL214" si="657">+IF(D214=0.333,E214*F214*G214,0)</f>
        <v>0</v>
      </c>
      <c r="AM214" s="301"/>
      <c r="AN214" s="301">
        <f>+IF(D214=0.333,1.33,0)</f>
        <v>0</v>
      </c>
      <c r="AO214" s="299"/>
      <c r="AP214" s="301"/>
      <c r="AQ214" s="301"/>
      <c r="AT214" s="694">
        <f t="shared" si="618"/>
        <v>24.361425000000001</v>
      </c>
    </row>
    <row r="215" spans="2:46" ht="20.100000000000001" customHeight="1" x14ac:dyDescent="0.3">
      <c r="B215" s="18"/>
      <c r="C215" s="62" t="s">
        <v>48</v>
      </c>
      <c r="D215" s="298">
        <v>0.66700000000000004</v>
      </c>
      <c r="E215" s="18">
        <v>-1</v>
      </c>
      <c r="F215" s="18">
        <v>1</v>
      </c>
      <c r="G215" s="555">
        <v>5</v>
      </c>
      <c r="H215" s="20">
        <f t="shared" ref="H215:H216" si="658">+D215</f>
        <v>0.66700000000000004</v>
      </c>
      <c r="I215" s="21"/>
      <c r="J215" s="81"/>
      <c r="K215" s="103">
        <f t="shared" ref="K215" si="659">+IF(D215=0.667,E215*F215*G215*H215*J215,0)</f>
        <v>0</v>
      </c>
      <c r="L215" s="103">
        <f t="shared" ref="L215" si="660">+IF(D215=0.333,E215*F215*G215*J215,0)</f>
        <v>0</v>
      </c>
      <c r="M215" s="81">
        <v>2.25</v>
      </c>
      <c r="N215" s="103">
        <f t="shared" ref="N215" si="661">+IF(D215=0.667,E215*F215*G215*H215*M215,0)</f>
        <v>-7.5037500000000001</v>
      </c>
      <c r="O215" s="103">
        <f t="shared" ref="O215" si="662">+IF(D215=0.333,E215*F215*G215*M215,0)</f>
        <v>0</v>
      </c>
      <c r="P215" s="27"/>
      <c r="Q215" s="100">
        <f t="shared" ref="Q215:Q216" si="663">+IF(D215=0.667,E215*F215*G215*H215*P215,0)</f>
        <v>0</v>
      </c>
      <c r="R215" s="100">
        <f t="shared" ref="R215:R216" si="664">+IF(D215=0.333,E215*F215*G215*P215,0)</f>
        <v>0</v>
      </c>
      <c r="S215" s="104">
        <f t="shared" si="642"/>
        <v>-7.5037500000000001</v>
      </c>
      <c r="T215" s="104">
        <f t="shared" si="642"/>
        <v>0</v>
      </c>
      <c r="U215" s="18"/>
      <c r="V215" s="26"/>
      <c r="W215" s="21">
        <f>+G215+D215</f>
        <v>5.6669999999999998</v>
      </c>
      <c r="X215" s="21">
        <v>0.5</v>
      </c>
      <c r="Y215" s="21">
        <f>+IF(D215=0.667,-E215*F215*H215*W215*X215,0)</f>
        <v>1.8899445000000001</v>
      </c>
      <c r="Z215" s="21">
        <f>+IF(D215=0.333,-E215*F215*H215*W215*X215,0)</f>
        <v>0</v>
      </c>
      <c r="AA215" s="21">
        <f>+F215*G215*H215</f>
        <v>3.335</v>
      </c>
      <c r="AB215" s="21">
        <f t="shared" ref="AB215" si="665">2*F215*W215*X215</f>
        <v>5.6669999999999998</v>
      </c>
      <c r="AC215" s="27"/>
      <c r="AD215" s="21">
        <v>0.16700000000000001</v>
      </c>
      <c r="AE215" s="21">
        <f t="shared" ref="AE215" si="666">+IF(D215=0.667,AD215*W215*H215*F215,0)</f>
        <v>0.63124146300000006</v>
      </c>
      <c r="AF215" s="21">
        <f t="shared" ref="AF215" si="667">+IF(D215=0.333,AD215*W215*H215*F215,0)</f>
        <v>0</v>
      </c>
      <c r="AG215" s="27"/>
      <c r="AH215" s="396"/>
      <c r="AI215" s="21">
        <f t="shared" ref="AI215" si="668">+AH215*G215*D215*0.17</f>
        <v>0</v>
      </c>
      <c r="AK215" s="301"/>
      <c r="AL215" s="301"/>
      <c r="AM215" s="301"/>
      <c r="AN215" s="301"/>
      <c r="AO215" s="299"/>
      <c r="AP215" s="301"/>
      <c r="AQ215" s="301"/>
      <c r="AT215" s="694">
        <f t="shared" si="618"/>
        <v>-5</v>
      </c>
    </row>
    <row r="216" spans="2:46" ht="20.100000000000001" customHeight="1" x14ac:dyDescent="0.3">
      <c r="B216" s="677"/>
      <c r="C216" s="678" t="s">
        <v>571</v>
      </c>
      <c r="D216" s="298">
        <v>0.66700000000000004</v>
      </c>
      <c r="E216" s="18">
        <v>-1</v>
      </c>
      <c r="F216" s="18">
        <v>1</v>
      </c>
      <c r="G216" s="679">
        <v>3.3330000000000002</v>
      </c>
      <c r="H216" s="20">
        <f t="shared" si="658"/>
        <v>0.66700000000000004</v>
      </c>
      <c r="I216" s="683"/>
      <c r="J216" s="680">
        <v>3</v>
      </c>
      <c r="K216" s="103">
        <f t="shared" ref="K216" si="669">+IF(D216=0.667,E216*F216*G216*H216*J216,0)</f>
        <v>-6.6693330000000008</v>
      </c>
      <c r="L216" s="103">
        <f t="shared" ref="L216" si="670">+IF(D216=0.333,E216*F216*G216*J216,0)</f>
        <v>0</v>
      </c>
      <c r="M216" s="680">
        <f>2*3.28-3</f>
        <v>3.5599999999999996</v>
      </c>
      <c r="N216" s="103">
        <f t="shared" ref="N216" si="671">+IF(D216=0.667,E216*F216*G216*H216*M216,0)</f>
        <v>-7.9142751599999999</v>
      </c>
      <c r="O216" s="103">
        <f t="shared" ref="O216" si="672">+IF(D216=0.333,E216*F216*G216*M216,0)</f>
        <v>0</v>
      </c>
      <c r="P216" s="681"/>
      <c r="Q216" s="100">
        <f t="shared" si="663"/>
        <v>0</v>
      </c>
      <c r="R216" s="100">
        <f t="shared" si="664"/>
        <v>0</v>
      </c>
      <c r="S216" s="104">
        <f t="shared" ref="S216" si="673">+Q216+N216+K216</f>
        <v>-14.583608160000001</v>
      </c>
      <c r="T216" s="104">
        <f t="shared" ref="T216" si="674">+R216+O216+L216</f>
        <v>0</v>
      </c>
      <c r="U216" s="677"/>
      <c r="V216" s="682"/>
      <c r="W216" s="683"/>
      <c r="X216" s="683"/>
      <c r="Y216" s="683"/>
      <c r="Z216" s="683"/>
      <c r="AA216" s="683"/>
      <c r="AB216" s="683"/>
      <c r="AC216" s="681"/>
      <c r="AD216" s="683"/>
      <c r="AE216" s="683"/>
      <c r="AF216" s="683"/>
      <c r="AG216" s="681"/>
      <c r="AH216" s="684"/>
      <c r="AI216" s="683"/>
      <c r="AK216" s="685"/>
      <c r="AL216" s="685"/>
      <c r="AM216" s="685"/>
      <c r="AN216" s="685"/>
      <c r="AO216" s="683"/>
      <c r="AP216" s="685"/>
      <c r="AQ216" s="685"/>
      <c r="AT216" s="694">
        <f t="shared" si="618"/>
        <v>-3.3330000000000002</v>
      </c>
    </row>
    <row r="217" spans="2:46" ht="20.100000000000001" customHeight="1" x14ac:dyDescent="0.3">
      <c r="B217" s="92"/>
      <c r="C217" s="95" t="s">
        <v>43</v>
      </c>
      <c r="D217" s="98">
        <v>0.66700000000000004</v>
      </c>
      <c r="E217" s="688">
        <f>1*0</f>
        <v>0</v>
      </c>
      <c r="F217" s="688">
        <f>1*0</f>
        <v>0</v>
      </c>
      <c r="G217" s="98">
        <f>(1.425+2.61+1.625)*3.281</f>
        <v>18.570460000000001</v>
      </c>
      <c r="H217" s="98">
        <f>+D217</f>
        <v>0.66700000000000004</v>
      </c>
      <c r="I217" s="94">
        <v>2</v>
      </c>
      <c r="J217" s="99">
        <v>3</v>
      </c>
      <c r="K217" s="100">
        <f>+IF(D217=0.667,E217*F217*G217*H217*J217,0)</f>
        <v>0</v>
      </c>
      <c r="L217" s="100">
        <f>+IF(D217=0.333,E217*F217*G217*J217,0)</f>
        <v>0</v>
      </c>
      <c r="M217" s="99">
        <v>4</v>
      </c>
      <c r="N217" s="100">
        <f>+IF(D217=0.667,E217*F217*G217*H217*M217,0)</f>
        <v>0</v>
      </c>
      <c r="O217" s="100">
        <f>+IF(D217=0.333,E217*F217*G217*M217,0)</f>
        <v>0</v>
      </c>
      <c r="P217" s="27">
        <f>11.833-I217-M217-J217</f>
        <v>2.8330000000000002</v>
      </c>
      <c r="Q217" s="100">
        <f>+IF(D217=0.667,E217*F217*G217*H217*P217,0)</f>
        <v>0</v>
      </c>
      <c r="R217" s="100">
        <f>+IF(D217=0.333,E217*F217*G217*P217,0)</f>
        <v>0</v>
      </c>
      <c r="S217" s="101">
        <f t="shared" si="642"/>
        <v>0</v>
      </c>
      <c r="T217" s="101">
        <f t="shared" si="642"/>
        <v>0</v>
      </c>
      <c r="U217" s="92"/>
      <c r="V217" s="91"/>
      <c r="W217" s="102"/>
      <c r="X217" s="98"/>
      <c r="Y217" s="102"/>
      <c r="Z217" s="98"/>
      <c r="AA217" s="98"/>
      <c r="AB217" s="98"/>
      <c r="AC217" s="91"/>
      <c r="AD217" s="98"/>
      <c r="AE217" s="98"/>
      <c r="AF217" s="98"/>
      <c r="AG217" s="91"/>
      <c r="AH217" s="305">
        <v>1</v>
      </c>
      <c r="AI217" s="299">
        <f>+AH217*G217*D217*0.17</f>
        <v>2.1057044594000005</v>
      </c>
      <c r="AK217" s="301">
        <f t="shared" ref="AK217" si="675">+IF(D217=0.667,E217*F217*G217,0)</f>
        <v>0</v>
      </c>
      <c r="AL217" s="301">
        <f t="shared" ref="AL217" si="676">+IF(D217=0.333,E217*F217*G217,0)</f>
        <v>0</v>
      </c>
      <c r="AM217" s="301"/>
      <c r="AN217" s="301">
        <f>+IF(D217=0.333,1.33,0)</f>
        <v>0</v>
      </c>
      <c r="AO217" s="299"/>
      <c r="AP217" s="301"/>
      <c r="AQ217" s="301"/>
      <c r="AT217" s="694">
        <f t="shared" si="618"/>
        <v>0</v>
      </c>
    </row>
    <row r="218" spans="2:46" ht="20.100000000000001" customHeight="1" x14ac:dyDescent="0.3">
      <c r="B218" s="18"/>
      <c r="C218" s="62" t="s">
        <v>246</v>
      </c>
      <c r="D218" s="298">
        <v>0.66700000000000004</v>
      </c>
      <c r="E218" s="689">
        <f>-1*0</f>
        <v>0</v>
      </c>
      <c r="F218" s="689">
        <f>2*0</f>
        <v>0</v>
      </c>
      <c r="G218" s="20">
        <v>2</v>
      </c>
      <c r="H218" s="20">
        <f t="shared" ref="H218" si="677">+D218</f>
        <v>0.66700000000000004</v>
      </c>
      <c r="I218" s="21"/>
      <c r="J218" s="81"/>
      <c r="K218" s="103">
        <f t="shared" ref="K218" si="678">+IF(D218=0.667,E218*F218*G218*H218*J218,0)</f>
        <v>0</v>
      </c>
      <c r="L218" s="103">
        <f t="shared" ref="L218" si="679">+IF(D218=0.333,E218*F218*G218*J218,0)</f>
        <v>0</v>
      </c>
      <c r="M218" s="81">
        <v>0</v>
      </c>
      <c r="N218" s="103">
        <f t="shared" ref="N218" si="680">+IF(D218=0.667,E218*F218*G218*H218*M218,0)</f>
        <v>0</v>
      </c>
      <c r="O218" s="103">
        <f t="shared" ref="O218" si="681">+IF(D218=0.333,E218*F218*G218*M218,0)</f>
        <v>0</v>
      </c>
      <c r="P218" s="27">
        <v>2</v>
      </c>
      <c r="Q218" s="103">
        <f t="shared" ref="Q218" si="682">+IF(D218=0.667,E218*F218*G218*H218*P218,0)</f>
        <v>0</v>
      </c>
      <c r="R218" s="103">
        <f t="shared" ref="R218" si="683">+IF(D218=0.333,E218*F218*G218*P218,0)</f>
        <v>0</v>
      </c>
      <c r="S218" s="104">
        <f t="shared" si="642"/>
        <v>0</v>
      </c>
      <c r="T218" s="104">
        <f t="shared" si="642"/>
        <v>0</v>
      </c>
      <c r="U218" s="18"/>
      <c r="V218" s="26"/>
      <c r="W218" s="21">
        <f>+G218+D218</f>
        <v>2.6669999999999998</v>
      </c>
      <c r="X218" s="21">
        <v>0.5</v>
      </c>
      <c r="Y218" s="21">
        <f>+IF(D218=0.667,-E218*F218*H218*W218*X218,0)</f>
        <v>0</v>
      </c>
      <c r="Z218" s="21">
        <f>+IF(D218=0.333,-E218*F218*H218*W218*X218,0)</f>
        <v>0</v>
      </c>
      <c r="AA218" s="21">
        <f>+F218*G218*H218</f>
        <v>0</v>
      </c>
      <c r="AB218" s="21">
        <f t="shared" ref="AB218" si="684">2*F218*W218*X218</f>
        <v>0</v>
      </c>
      <c r="AC218" s="27"/>
      <c r="AD218" s="21">
        <v>0.16700000000000001</v>
      </c>
      <c r="AE218" s="21">
        <f t="shared" ref="AE218" si="685">+IF(D218=0.667,AD218*W218*H218*F218,0)</f>
        <v>0</v>
      </c>
      <c r="AF218" s="21">
        <f t="shared" ref="AF218" si="686">+IF(D218=0.333,AD218*W218*H218*F218,0)</f>
        <v>0</v>
      </c>
      <c r="AG218" s="27"/>
      <c r="AH218" s="396"/>
      <c r="AI218" s="21">
        <f t="shared" ref="AI218" si="687">+AH218*G218*D218*0.17</f>
        <v>0</v>
      </c>
      <c r="AK218" s="301"/>
      <c r="AL218" s="301"/>
      <c r="AM218" s="301"/>
      <c r="AN218" s="301"/>
      <c r="AO218" s="299"/>
      <c r="AP218" s="301"/>
      <c r="AQ218" s="301"/>
      <c r="AT218" s="694">
        <f t="shared" si="618"/>
        <v>0</v>
      </c>
    </row>
    <row r="219" spans="2:46" ht="20.100000000000001" customHeight="1" x14ac:dyDescent="0.3">
      <c r="B219" s="92"/>
      <c r="C219" s="95" t="s">
        <v>359</v>
      </c>
      <c r="D219" s="98">
        <v>0.66700000000000004</v>
      </c>
      <c r="E219" s="688">
        <f>1*0</f>
        <v>0</v>
      </c>
      <c r="F219" s="688">
        <f>1*0</f>
        <v>0</v>
      </c>
      <c r="G219" s="98">
        <f>(6.395)*3.281</f>
        <v>20.981994999999998</v>
      </c>
      <c r="H219" s="98">
        <f>+D219</f>
        <v>0.66700000000000004</v>
      </c>
      <c r="I219" s="94">
        <v>2</v>
      </c>
      <c r="J219" s="99">
        <v>3</v>
      </c>
      <c r="K219" s="100">
        <f>+IF(D219=0.667,E219*F219*G219*H219*J219,0)</f>
        <v>0</v>
      </c>
      <c r="L219" s="100">
        <f>+IF(D219=0.333,E219*F219*G219*J219,0)</f>
        <v>0</v>
      </c>
      <c r="M219" s="99">
        <v>4</v>
      </c>
      <c r="N219" s="100">
        <f>+IF(D219=0.667,E219*F219*G219*H219*M219,0)</f>
        <v>0</v>
      </c>
      <c r="O219" s="100">
        <f>+IF(D219=0.333,E219*F219*G219*M219,0)</f>
        <v>0</v>
      </c>
      <c r="P219" s="27">
        <f>11.833-I219-M219-J219</f>
        <v>2.8330000000000002</v>
      </c>
      <c r="Q219" s="100">
        <f>+IF(D219=0.667,E219*F219*G219*H219*P219,0)</f>
        <v>0</v>
      </c>
      <c r="R219" s="100">
        <f>+IF(D219=0.333,E219*F219*G219*P219,0)</f>
        <v>0</v>
      </c>
      <c r="S219" s="101">
        <f t="shared" si="642"/>
        <v>0</v>
      </c>
      <c r="T219" s="101">
        <f t="shared" si="642"/>
        <v>0</v>
      </c>
      <c r="U219" s="92"/>
      <c r="V219" s="91"/>
      <c r="W219" s="102"/>
      <c r="X219" s="98"/>
      <c r="Y219" s="102"/>
      <c r="Z219" s="98"/>
      <c r="AA219" s="98"/>
      <c r="AB219" s="98"/>
      <c r="AC219" s="91"/>
      <c r="AD219" s="98"/>
      <c r="AE219" s="98"/>
      <c r="AF219" s="98"/>
      <c r="AG219" s="91"/>
      <c r="AH219" s="305">
        <v>1</v>
      </c>
      <c r="AI219" s="299">
        <f>+AH219*G219*D219*0.17</f>
        <v>2.3791484130500002</v>
      </c>
      <c r="AK219" s="301">
        <f t="shared" ref="AK219:AK224" si="688">+IF(D219=0.667,E219*F219*G219,0)</f>
        <v>0</v>
      </c>
      <c r="AL219" s="301">
        <f t="shared" ref="AL219:AL223" si="689">+IF(D219=0.333,E219*F219*G219,0)</f>
        <v>0</v>
      </c>
      <c r="AM219" s="301"/>
      <c r="AN219" s="301">
        <f>+IF(D219=0.333,1.33,0)</f>
        <v>0</v>
      </c>
      <c r="AO219" s="299"/>
      <c r="AP219" s="301"/>
      <c r="AQ219" s="301"/>
      <c r="AT219" s="694">
        <f t="shared" si="618"/>
        <v>0</v>
      </c>
    </row>
    <row r="220" spans="2:46" ht="20.100000000000001" customHeight="1" x14ac:dyDescent="0.3">
      <c r="B220" s="18"/>
      <c r="C220" s="62" t="s">
        <v>34</v>
      </c>
      <c r="D220" s="98">
        <v>0.66700000000000004</v>
      </c>
      <c r="E220" s="689">
        <f>-1*0</f>
        <v>0</v>
      </c>
      <c r="F220" s="689">
        <f>1*0</f>
        <v>0</v>
      </c>
      <c r="G220" s="20">
        <v>3.25</v>
      </c>
      <c r="H220" s="20">
        <f t="shared" ref="H220" si="690">+D220</f>
        <v>0.66700000000000004</v>
      </c>
      <c r="I220" s="21"/>
      <c r="J220" s="81">
        <v>3</v>
      </c>
      <c r="K220" s="103">
        <f t="shared" ref="K220" si="691">+IF(D220=0.667,E220*F220*G220*H220*J220,0)</f>
        <v>0</v>
      </c>
      <c r="L220" s="103">
        <f t="shared" ref="L220" si="692">+IF(D220=0.333,E220*F220*G220*J220,0)</f>
        <v>0</v>
      </c>
      <c r="M220" s="81">
        <v>4</v>
      </c>
      <c r="N220" s="103">
        <f t="shared" ref="N220" si="693">+IF(D220=0.667,E220*F220*G220*H220*M220,0)</f>
        <v>0</v>
      </c>
      <c r="O220" s="103">
        <f t="shared" ref="O220" si="694">+IF(D220=0.333,E220*F220*G220*M220,0)</f>
        <v>0</v>
      </c>
      <c r="P220" s="27"/>
      <c r="Q220" s="103">
        <f t="shared" ref="Q220" si="695">+IF(D220=0.667,E220*F220*G220*H220*P220,0)</f>
        <v>0</v>
      </c>
      <c r="R220" s="103">
        <f t="shared" ref="R220" si="696">+IF(D220=0.333,E220*F220*G220*P220,0)</f>
        <v>0</v>
      </c>
      <c r="S220" s="104">
        <f t="shared" si="642"/>
        <v>0</v>
      </c>
      <c r="T220" s="104">
        <f t="shared" si="642"/>
        <v>0</v>
      </c>
      <c r="U220" s="18"/>
      <c r="V220" s="26"/>
      <c r="W220" s="21">
        <f>+G220+D220</f>
        <v>3.9169999999999998</v>
      </c>
      <c r="X220" s="21">
        <v>0.5</v>
      </c>
      <c r="Y220" s="21">
        <f>+IF(D220=0.667,-E220*F220*H220*W220*X220,0)</f>
        <v>0</v>
      </c>
      <c r="Z220" s="21">
        <f>+IF(D220=0.333,-E220*F220*H220*W220*X220,0)</f>
        <v>0</v>
      </c>
      <c r="AA220" s="21">
        <f>+F220*G220*H220</f>
        <v>0</v>
      </c>
      <c r="AB220" s="21">
        <f t="shared" ref="AB220" si="697">2*F220*W220*X220</f>
        <v>0</v>
      </c>
      <c r="AC220" s="27"/>
      <c r="AD220" s="21"/>
      <c r="AE220" s="21">
        <f t="shared" ref="AE220" si="698">+IF(D220=0.667,AD220*W220*H220*F220,0)</f>
        <v>0</v>
      </c>
      <c r="AF220" s="21">
        <f t="shared" ref="AF220" si="699">+IF(D220=0.333,AD220*W220*H220*F220,0)</f>
        <v>0</v>
      </c>
      <c r="AG220" s="27"/>
      <c r="AH220" s="396"/>
      <c r="AI220" s="21">
        <f t="shared" ref="AI220" si="700">+AH220*G220*D220*0.17</f>
        <v>0</v>
      </c>
      <c r="AK220" s="301">
        <f t="shared" si="688"/>
        <v>0</v>
      </c>
      <c r="AL220" s="301">
        <f t="shared" si="689"/>
        <v>0</v>
      </c>
      <c r="AM220" s="450">
        <f>+IF(D220=0.667,1.33,0)*0</f>
        <v>0</v>
      </c>
      <c r="AN220" s="301">
        <f>+IF(D220=0.333,1.33,0)</f>
        <v>0</v>
      </c>
      <c r="AO220" s="299"/>
      <c r="AP220" s="301"/>
      <c r="AQ220" s="301"/>
      <c r="AT220" s="694">
        <f t="shared" si="618"/>
        <v>0</v>
      </c>
    </row>
    <row r="221" spans="2:46" ht="24" customHeight="1" x14ac:dyDescent="0.3">
      <c r="B221" s="92"/>
      <c r="C221" s="62" t="s">
        <v>366</v>
      </c>
      <c r="D221" s="98">
        <v>0.33300000000000002</v>
      </c>
      <c r="E221" s="688">
        <f>1*0</f>
        <v>0</v>
      </c>
      <c r="F221" s="688">
        <f>1*0</f>
        <v>0</v>
      </c>
      <c r="G221" s="98">
        <f>(2.135+1.625+3.43)*3.281</f>
        <v>23.590389999999999</v>
      </c>
      <c r="H221" s="98">
        <f>+D221</f>
        <v>0.33300000000000002</v>
      </c>
      <c r="I221" s="94">
        <v>2</v>
      </c>
      <c r="J221" s="99">
        <v>3</v>
      </c>
      <c r="K221" s="100">
        <f>+IF(D221=0.667,E221*F221*G221*H221*J221,0)</f>
        <v>0</v>
      </c>
      <c r="L221" s="100">
        <f>+IF(D221=0.333,E221*F221*G221*J221,0)</f>
        <v>0</v>
      </c>
      <c r="M221" s="99">
        <v>4</v>
      </c>
      <c r="N221" s="100">
        <f>+IF(D221=0.667,E221*F221*G221*H221*M221,0)</f>
        <v>0</v>
      </c>
      <c r="O221" s="100">
        <f>+IF(D221=0.333,E221*F221*G221*M221,0)</f>
        <v>0</v>
      </c>
      <c r="P221" s="27">
        <f>11.833-I221-M221-J221</f>
        <v>2.8330000000000002</v>
      </c>
      <c r="Q221" s="100">
        <f>+IF(D221=0.667,E221*F221*G221*H221*P221,0)</f>
        <v>0</v>
      </c>
      <c r="R221" s="100">
        <f>+IF(D221=0.333,E221*F221*G221*P221,0)</f>
        <v>0</v>
      </c>
      <c r="S221" s="101">
        <f t="shared" si="642"/>
        <v>0</v>
      </c>
      <c r="T221" s="101">
        <f t="shared" si="642"/>
        <v>0</v>
      </c>
      <c r="U221" s="92"/>
      <c r="V221" s="91"/>
      <c r="W221" s="102"/>
      <c r="X221" s="98"/>
      <c r="Y221" s="102"/>
      <c r="Z221" s="98"/>
      <c r="AA221" s="98"/>
      <c r="AB221" s="98"/>
      <c r="AC221" s="91"/>
      <c r="AD221" s="98"/>
      <c r="AE221" s="98"/>
      <c r="AF221" s="98"/>
      <c r="AG221" s="91"/>
      <c r="AH221" s="304">
        <v>1</v>
      </c>
      <c r="AI221" s="299">
        <f>+AH221*G221*D221*0.17</f>
        <v>1.3354519779</v>
      </c>
      <c r="AK221" s="301">
        <f t="shared" si="688"/>
        <v>0</v>
      </c>
      <c r="AL221" s="301">
        <f t="shared" si="689"/>
        <v>0</v>
      </c>
      <c r="AM221" s="301"/>
      <c r="AN221" s="301"/>
      <c r="AO221" s="299"/>
      <c r="AP221" s="301"/>
      <c r="AQ221" s="301"/>
      <c r="AT221" s="694">
        <f t="shared" si="618"/>
        <v>0</v>
      </c>
    </row>
    <row r="222" spans="2:46" ht="20.100000000000001" customHeight="1" x14ac:dyDescent="0.3">
      <c r="B222" s="18"/>
      <c r="C222" s="62" t="s">
        <v>337</v>
      </c>
      <c r="D222" s="98">
        <v>0.33300000000000002</v>
      </c>
      <c r="E222" s="689">
        <f>-1*0</f>
        <v>0</v>
      </c>
      <c r="F222" s="689">
        <f>1*0</f>
        <v>0</v>
      </c>
      <c r="G222" s="20">
        <v>2.5</v>
      </c>
      <c r="H222" s="20">
        <f t="shared" ref="H222:H224" si="701">+D222</f>
        <v>0.33300000000000002</v>
      </c>
      <c r="I222" s="21"/>
      <c r="J222" s="81">
        <v>3</v>
      </c>
      <c r="K222" s="103">
        <f t="shared" ref="K222:K224" si="702">+IF(D222=0.667,E222*F222*G222*H222*J222,0)</f>
        <v>0</v>
      </c>
      <c r="L222" s="103">
        <f t="shared" ref="L222:L224" si="703">+IF(D222=0.333,E222*F222*G222*J222,0)</f>
        <v>0</v>
      </c>
      <c r="M222" s="81">
        <v>3</v>
      </c>
      <c r="N222" s="103">
        <f t="shared" ref="N222:N224" si="704">+IF(D222=0.667,E222*F222*G222*H222*M222,0)</f>
        <v>0</v>
      </c>
      <c r="O222" s="103">
        <f t="shared" ref="O222:O224" si="705">+IF(D222=0.333,E222*F222*G222*M222,0)</f>
        <v>0</v>
      </c>
      <c r="P222" s="27"/>
      <c r="Q222" s="103">
        <f t="shared" ref="Q222:Q224" si="706">+IF(D222=0.667,E222*F222*G222*H222*P222,0)</f>
        <v>0</v>
      </c>
      <c r="R222" s="103">
        <f t="shared" ref="R222:R224" si="707">+IF(D222=0.333,E222*F222*G222*P222,0)</f>
        <v>0</v>
      </c>
      <c r="S222" s="104">
        <f t="shared" si="642"/>
        <v>0</v>
      </c>
      <c r="T222" s="104">
        <f t="shared" si="642"/>
        <v>0</v>
      </c>
      <c r="U222" s="18"/>
      <c r="V222" s="26"/>
      <c r="W222" s="21">
        <f>+G222+D222</f>
        <v>2.8330000000000002</v>
      </c>
      <c r="X222" s="21">
        <v>0.5</v>
      </c>
      <c r="Y222" s="21">
        <f>+IF(D222=0.667,-E222*F222*H222*W222*X222,0)</f>
        <v>0</v>
      </c>
      <c r="Z222" s="21">
        <f>+IF(D222=0.333,-E222*F222*H222*W222*X222,0)</f>
        <v>0</v>
      </c>
      <c r="AA222" s="21">
        <f>+F222*G222*H222</f>
        <v>0</v>
      </c>
      <c r="AB222" s="21">
        <f t="shared" ref="AB222:AB224" si="708">2*F222*W222*X222</f>
        <v>0</v>
      </c>
      <c r="AC222" s="27"/>
      <c r="AD222" s="21"/>
      <c r="AE222" s="21">
        <f t="shared" ref="AE222:AE224" si="709">+IF(D222=0.667,AD222*W222*H222*F222,0)</f>
        <v>0</v>
      </c>
      <c r="AF222" s="21">
        <f t="shared" ref="AF222:AF224" si="710">+IF(D222=0.333,AD222*W222*H222*F222,0)</f>
        <v>0</v>
      </c>
      <c r="AG222" s="27"/>
      <c r="AH222" s="396"/>
      <c r="AI222" s="21">
        <f t="shared" ref="AI222:AI224" si="711">+AH222*G222*D222*0.17</f>
        <v>0</v>
      </c>
      <c r="AK222" s="301">
        <f t="shared" si="688"/>
        <v>0</v>
      </c>
      <c r="AL222" s="301">
        <f t="shared" si="689"/>
        <v>0</v>
      </c>
      <c r="AM222" s="301"/>
      <c r="AN222" s="301">
        <f>+IF(D222=0.333,1.33,0)*0</f>
        <v>0</v>
      </c>
      <c r="AO222" s="299"/>
      <c r="AP222" s="301"/>
      <c r="AQ222" s="301"/>
      <c r="AT222" s="694">
        <f t="shared" si="618"/>
        <v>0</v>
      </c>
    </row>
    <row r="223" spans="2:46" ht="20.100000000000001" customHeight="1" x14ac:dyDescent="0.3">
      <c r="B223" s="18"/>
      <c r="C223" s="62" t="s">
        <v>341</v>
      </c>
      <c r="D223" s="98">
        <v>0.33300000000000002</v>
      </c>
      <c r="E223" s="689">
        <f>-1*0</f>
        <v>0</v>
      </c>
      <c r="F223" s="689">
        <f>1*0</f>
        <v>0</v>
      </c>
      <c r="G223" s="20">
        <v>3.25</v>
      </c>
      <c r="H223" s="20">
        <f t="shared" si="701"/>
        <v>0.33300000000000002</v>
      </c>
      <c r="I223" s="21"/>
      <c r="J223" s="81">
        <v>3</v>
      </c>
      <c r="K223" s="103">
        <f t="shared" si="702"/>
        <v>0</v>
      </c>
      <c r="L223" s="103">
        <f t="shared" si="703"/>
        <v>0</v>
      </c>
      <c r="M223" s="81">
        <v>3</v>
      </c>
      <c r="N223" s="103">
        <f t="shared" si="704"/>
        <v>0</v>
      </c>
      <c r="O223" s="103">
        <f t="shared" si="705"/>
        <v>0</v>
      </c>
      <c r="P223" s="27"/>
      <c r="Q223" s="103">
        <f t="shared" si="706"/>
        <v>0</v>
      </c>
      <c r="R223" s="103">
        <f t="shared" si="707"/>
        <v>0</v>
      </c>
      <c r="S223" s="104">
        <f t="shared" si="642"/>
        <v>0</v>
      </c>
      <c r="T223" s="104">
        <f t="shared" si="642"/>
        <v>0</v>
      </c>
      <c r="U223" s="18"/>
      <c r="V223" s="26"/>
      <c r="W223" s="21">
        <f>+G223+D223</f>
        <v>3.5830000000000002</v>
      </c>
      <c r="X223" s="21">
        <v>0.5</v>
      </c>
      <c r="Y223" s="21">
        <f>+IF(D223=0.667,-E223*F223*H223*W223*X223,0)</f>
        <v>0</v>
      </c>
      <c r="Z223" s="21">
        <f>+IF(D223=0.333,-E223*F223*H223*W223*X223,0)</f>
        <v>0</v>
      </c>
      <c r="AA223" s="21">
        <f>+F223*G223*H223</f>
        <v>0</v>
      </c>
      <c r="AB223" s="21">
        <f t="shared" si="708"/>
        <v>0</v>
      </c>
      <c r="AC223" s="27"/>
      <c r="AD223" s="21"/>
      <c r="AE223" s="21">
        <f t="shared" si="709"/>
        <v>0</v>
      </c>
      <c r="AF223" s="21">
        <f t="shared" si="710"/>
        <v>0</v>
      </c>
      <c r="AG223" s="27"/>
      <c r="AH223" s="396"/>
      <c r="AI223" s="21">
        <f t="shared" si="711"/>
        <v>0</v>
      </c>
      <c r="AK223" s="301">
        <f t="shared" si="688"/>
        <v>0</v>
      </c>
      <c r="AL223" s="301">
        <f t="shared" si="689"/>
        <v>0</v>
      </c>
      <c r="AM223" s="301"/>
      <c r="AN223" s="301">
        <f>+IF(D223=0.333,1.33,0)*0</f>
        <v>0</v>
      </c>
      <c r="AO223" s="299"/>
      <c r="AP223" s="301"/>
      <c r="AQ223" s="301"/>
      <c r="AT223" s="694">
        <f t="shared" si="618"/>
        <v>0</v>
      </c>
    </row>
    <row r="224" spans="2:46" ht="20.100000000000001" customHeight="1" x14ac:dyDescent="0.3">
      <c r="B224" s="18"/>
      <c r="C224" s="62" t="s">
        <v>343</v>
      </c>
      <c r="D224" s="298">
        <v>0.33300000000000002</v>
      </c>
      <c r="E224" s="688">
        <f>1*0</f>
        <v>0</v>
      </c>
      <c r="F224" s="688">
        <f>1*0</f>
        <v>0</v>
      </c>
      <c r="G224" s="20">
        <f>(1.05+1.2)*3.281</f>
        <v>7.38225</v>
      </c>
      <c r="H224" s="20">
        <f t="shared" si="701"/>
        <v>0.33300000000000002</v>
      </c>
      <c r="I224" s="21">
        <f>18/12</f>
        <v>1.5</v>
      </c>
      <c r="J224" s="81">
        <v>3</v>
      </c>
      <c r="K224" s="103">
        <f t="shared" si="702"/>
        <v>0</v>
      </c>
      <c r="L224" s="103">
        <f t="shared" si="703"/>
        <v>0</v>
      </c>
      <c r="M224" s="81"/>
      <c r="N224" s="103">
        <f t="shared" si="704"/>
        <v>0</v>
      </c>
      <c r="O224" s="103">
        <f t="shared" si="705"/>
        <v>0</v>
      </c>
      <c r="P224" s="27"/>
      <c r="Q224" s="103">
        <f t="shared" si="706"/>
        <v>0</v>
      </c>
      <c r="R224" s="103">
        <f t="shared" si="707"/>
        <v>0</v>
      </c>
      <c r="S224" s="104">
        <f t="shared" si="642"/>
        <v>0</v>
      </c>
      <c r="T224" s="104">
        <f t="shared" si="642"/>
        <v>0</v>
      </c>
      <c r="U224" s="18"/>
      <c r="V224" s="26"/>
      <c r="W224" s="21"/>
      <c r="X224" s="21"/>
      <c r="Y224" s="21"/>
      <c r="Z224" s="21"/>
      <c r="AA224" s="21"/>
      <c r="AB224" s="21">
        <f t="shared" si="708"/>
        <v>0</v>
      </c>
      <c r="AC224" s="27"/>
      <c r="AD224" s="21"/>
      <c r="AE224" s="21">
        <f t="shared" si="709"/>
        <v>0</v>
      </c>
      <c r="AF224" s="21">
        <f t="shared" si="710"/>
        <v>0</v>
      </c>
      <c r="AG224" s="27"/>
      <c r="AH224" s="396">
        <v>1</v>
      </c>
      <c r="AI224" s="21">
        <f t="shared" si="711"/>
        <v>0.41790917250000004</v>
      </c>
      <c r="AK224" s="301">
        <f t="shared" si="688"/>
        <v>0</v>
      </c>
      <c r="AL224" s="301"/>
      <c r="AM224" s="301"/>
      <c r="AN224" s="301"/>
      <c r="AO224" s="299">
        <f>+E224*F224*G224</f>
        <v>0</v>
      </c>
      <c r="AP224" s="301"/>
      <c r="AQ224" s="301"/>
      <c r="AT224" s="694">
        <f t="shared" si="618"/>
        <v>0</v>
      </c>
    </row>
    <row r="225" spans="2:46" ht="20.100000000000001" customHeight="1" x14ac:dyDescent="0.3">
      <c r="B225" s="369"/>
      <c r="C225" s="395"/>
      <c r="D225" s="371"/>
      <c r="E225" s="369"/>
      <c r="F225" s="369"/>
      <c r="G225" s="371"/>
      <c r="H225" s="371"/>
      <c r="I225" s="372"/>
      <c r="J225" s="371"/>
      <c r="K225" s="371"/>
      <c r="L225" s="371"/>
      <c r="M225" s="371"/>
      <c r="N225" s="371"/>
      <c r="O225" s="371"/>
      <c r="P225" s="633"/>
      <c r="Q225" s="371"/>
      <c r="R225" s="371"/>
      <c r="S225" s="371"/>
      <c r="T225" s="371"/>
      <c r="U225" s="369"/>
      <c r="V225" s="370"/>
      <c r="W225" s="372"/>
      <c r="X225" s="371"/>
      <c r="Y225" s="372"/>
      <c r="Z225" s="371"/>
      <c r="AA225" s="371"/>
      <c r="AB225" s="371"/>
      <c r="AC225" s="370"/>
      <c r="AD225" s="371"/>
      <c r="AE225" s="371"/>
      <c r="AF225" s="371"/>
      <c r="AG225" s="370"/>
      <c r="AH225" s="376"/>
      <c r="AI225" s="372"/>
      <c r="AK225" s="377"/>
      <c r="AL225" s="377"/>
      <c r="AM225" s="377"/>
      <c r="AN225" s="377"/>
      <c r="AO225" s="372"/>
      <c r="AP225" s="377"/>
      <c r="AQ225" s="377"/>
      <c r="AT225" s="694">
        <f t="shared" si="618"/>
        <v>0</v>
      </c>
    </row>
    <row r="226" spans="2:46" ht="20.100000000000001" customHeight="1" x14ac:dyDescent="0.3">
      <c r="B226" s="369"/>
      <c r="C226" s="97" t="s">
        <v>365</v>
      </c>
      <c r="D226" s="371"/>
      <c r="E226" s="369"/>
      <c r="F226" s="369"/>
      <c r="G226" s="371"/>
      <c r="H226" s="371"/>
      <c r="I226" s="372"/>
      <c r="J226" s="371"/>
      <c r="K226" s="371"/>
      <c r="L226" s="371"/>
      <c r="M226" s="371"/>
      <c r="N226" s="371"/>
      <c r="O226" s="371"/>
      <c r="P226" s="633"/>
      <c r="Q226" s="371"/>
      <c r="R226" s="371"/>
      <c r="S226" s="371"/>
      <c r="T226" s="371"/>
      <c r="U226" s="369"/>
      <c r="V226" s="370"/>
      <c r="W226" s="372"/>
      <c r="X226" s="371"/>
      <c r="Y226" s="372"/>
      <c r="Z226" s="371"/>
      <c r="AA226" s="371"/>
      <c r="AB226" s="371"/>
      <c r="AC226" s="370"/>
      <c r="AD226" s="371"/>
      <c r="AE226" s="371"/>
      <c r="AF226" s="371"/>
      <c r="AG226" s="370"/>
      <c r="AH226" s="376"/>
      <c r="AI226" s="372"/>
      <c r="AK226" s="377"/>
      <c r="AL226" s="377"/>
      <c r="AM226" s="377"/>
      <c r="AN226" s="377"/>
      <c r="AO226" s="372"/>
      <c r="AP226" s="377"/>
      <c r="AQ226" s="377"/>
      <c r="AT226" s="694">
        <f t="shared" si="618"/>
        <v>0</v>
      </c>
    </row>
    <row r="227" spans="2:46" ht="20.100000000000001" customHeight="1" x14ac:dyDescent="0.3">
      <c r="B227" s="92"/>
      <c r="C227" s="95" t="s">
        <v>33</v>
      </c>
      <c r="D227" s="98">
        <v>0.33300000000000002</v>
      </c>
      <c r="E227" s="688">
        <f>1*0</f>
        <v>0</v>
      </c>
      <c r="F227" s="688">
        <f>1*0</f>
        <v>0</v>
      </c>
      <c r="G227" s="98">
        <f>(3.538)*3.281</f>
        <v>11.608178000000001</v>
      </c>
      <c r="H227" s="98">
        <f>+D227</f>
        <v>0.33300000000000002</v>
      </c>
      <c r="I227" s="94">
        <v>2</v>
      </c>
      <c r="J227" s="99">
        <v>3</v>
      </c>
      <c r="K227" s="100">
        <f>+IF(D227=0.667,E227*F227*G227*H227*J227,0)</f>
        <v>0</v>
      </c>
      <c r="L227" s="100">
        <f>+IF(D227=0.333,E227*F227*G227*J227,0)</f>
        <v>0</v>
      </c>
      <c r="M227" s="99">
        <v>4</v>
      </c>
      <c r="N227" s="100">
        <f>+IF(D227=0.667,E227*F227*G227*H227*M227,0)</f>
        <v>0</v>
      </c>
      <c r="O227" s="100">
        <f>+IF(D227=0.333,E227*F227*G227*M227,0)</f>
        <v>0</v>
      </c>
      <c r="P227" s="27">
        <f>11.833-I227-M227-J227</f>
        <v>2.8330000000000002</v>
      </c>
      <c r="Q227" s="100">
        <f>+IF(D227=0.667,E227*F227*G227*H227*P227,0)</f>
        <v>0</v>
      </c>
      <c r="R227" s="100">
        <f>+IF(D227=0.333,E227*F227*G227*P227,0)</f>
        <v>0</v>
      </c>
      <c r="S227" s="101">
        <f t="shared" ref="S227:T234" si="712">+Q227+N227+K227</f>
        <v>0</v>
      </c>
      <c r="T227" s="101">
        <f t="shared" si="712"/>
        <v>0</v>
      </c>
      <c r="U227" s="92"/>
      <c r="V227" s="91"/>
      <c r="W227" s="102"/>
      <c r="X227" s="98"/>
      <c r="Y227" s="102"/>
      <c r="Z227" s="98"/>
      <c r="AA227" s="98"/>
      <c r="AB227" s="98"/>
      <c r="AC227" s="91"/>
      <c r="AD227" s="98"/>
      <c r="AE227" s="98"/>
      <c r="AF227" s="98"/>
      <c r="AG227" s="91"/>
      <c r="AH227" s="305">
        <v>1</v>
      </c>
      <c r="AI227" s="299">
        <f>+AH227*G227*D227*0.17</f>
        <v>0.6571389565800001</v>
      </c>
      <c r="AK227" s="301">
        <f t="shared" ref="AK227:AK234" si="713">+IF(D227=0.667,E227*F227*G227,0)</f>
        <v>0</v>
      </c>
      <c r="AL227" s="301">
        <f t="shared" ref="AL227:AL234" si="714">+IF(D227=0.333,E227*F227*G227,0)</f>
        <v>0</v>
      </c>
      <c r="AM227" s="301"/>
      <c r="AN227" s="301">
        <f>+IF(D227=0.333,1.33,0)*0</f>
        <v>0</v>
      </c>
      <c r="AO227" s="299"/>
      <c r="AP227" s="301"/>
      <c r="AQ227" s="301"/>
      <c r="AT227" s="694">
        <f t="shared" si="618"/>
        <v>0</v>
      </c>
    </row>
    <row r="228" spans="2:46" ht="20.100000000000001" customHeight="1" x14ac:dyDescent="0.3">
      <c r="B228" s="18"/>
      <c r="C228" s="62" t="s">
        <v>34</v>
      </c>
      <c r="D228" s="98">
        <v>0.33300000000000002</v>
      </c>
      <c r="E228" s="689">
        <f>-1*0</f>
        <v>0</v>
      </c>
      <c r="F228" s="688">
        <f>1*0</f>
        <v>0</v>
      </c>
      <c r="G228" s="20">
        <v>3.25</v>
      </c>
      <c r="H228" s="20">
        <f t="shared" ref="H228" si="715">+D228</f>
        <v>0.33300000000000002</v>
      </c>
      <c r="I228" s="21"/>
      <c r="J228" s="81">
        <v>3</v>
      </c>
      <c r="K228" s="103">
        <f t="shared" ref="K228" si="716">+IF(D228=0.667,E228*F228*G228*H228*J228,0)</f>
        <v>0</v>
      </c>
      <c r="L228" s="103">
        <f t="shared" ref="L228" si="717">+IF(D228=0.333,E228*F228*G228*J228,0)</f>
        <v>0</v>
      </c>
      <c r="M228" s="81">
        <v>4</v>
      </c>
      <c r="N228" s="103">
        <f t="shared" ref="N228" si="718">+IF(D228=0.667,E228*F228*G228*H228*M228,0)</f>
        <v>0</v>
      </c>
      <c r="O228" s="103">
        <f t="shared" ref="O228" si="719">+IF(D228=0.333,E228*F228*G228*M228,0)</f>
        <v>0</v>
      </c>
      <c r="P228" s="27"/>
      <c r="Q228" s="103">
        <f t="shared" ref="Q228" si="720">+IF(D228=0.667,E228*F228*G228*H228*P228,0)</f>
        <v>0</v>
      </c>
      <c r="R228" s="103">
        <f t="shared" ref="R228" si="721">+IF(D228=0.333,E228*F228*G228*P228,0)</f>
        <v>0</v>
      </c>
      <c r="S228" s="104">
        <f t="shared" si="712"/>
        <v>0</v>
      </c>
      <c r="T228" s="104">
        <f t="shared" si="712"/>
        <v>0</v>
      </c>
      <c r="U228" s="18"/>
      <c r="V228" s="26"/>
      <c r="W228" s="21">
        <f>+G228+D228</f>
        <v>3.5830000000000002</v>
      </c>
      <c r="X228" s="21">
        <v>0.5</v>
      </c>
      <c r="Y228" s="21">
        <f>+IF(D228=0.667,-E228*F228*H228*W228*X228,0)</f>
        <v>0</v>
      </c>
      <c r="Z228" s="21">
        <f>+IF(D228=0.333,-E228*F228*H228*W228*X228,0)</f>
        <v>0</v>
      </c>
      <c r="AA228" s="21">
        <f>+F228*G228*H228</f>
        <v>0</v>
      </c>
      <c r="AB228" s="21">
        <f t="shared" ref="AB228" si="722">2*F228*W228*X228</f>
        <v>0</v>
      </c>
      <c r="AC228" s="27"/>
      <c r="AD228" s="21"/>
      <c r="AE228" s="21">
        <f t="shared" ref="AE228" si="723">+IF(D228=0.667,AD228*W228*H228*F228,0)</f>
        <v>0</v>
      </c>
      <c r="AF228" s="21">
        <f t="shared" ref="AF228" si="724">+IF(D228=0.333,AD228*W228*H228*F228,0)</f>
        <v>0</v>
      </c>
      <c r="AG228" s="27"/>
      <c r="AH228" s="396"/>
      <c r="AI228" s="21">
        <f t="shared" ref="AI228" si="725">+AH228*G228*D228*0.17</f>
        <v>0</v>
      </c>
      <c r="AK228" s="301">
        <f t="shared" si="713"/>
        <v>0</v>
      </c>
      <c r="AL228" s="301">
        <f t="shared" si="714"/>
        <v>0</v>
      </c>
      <c r="AM228" s="301"/>
      <c r="AN228" s="301">
        <f>+IF(D228=0.333,1.33,0)*0</f>
        <v>0</v>
      </c>
      <c r="AO228" s="299"/>
      <c r="AP228" s="301"/>
      <c r="AQ228" s="301"/>
      <c r="AT228" s="694">
        <f t="shared" si="618"/>
        <v>0</v>
      </c>
    </row>
    <row r="229" spans="2:46" ht="20.100000000000001" customHeight="1" x14ac:dyDescent="0.3">
      <c r="B229" s="92"/>
      <c r="C229" s="95" t="s">
        <v>32</v>
      </c>
      <c r="D229" s="98">
        <v>0.66700000000000004</v>
      </c>
      <c r="E229" s="688">
        <f>1*0</f>
        <v>0</v>
      </c>
      <c r="F229" s="688">
        <f>1*0</f>
        <v>0</v>
      </c>
      <c r="G229" s="98">
        <f>(0.59+1.935)*3.281</f>
        <v>8.2845250000000004</v>
      </c>
      <c r="H229" s="98">
        <f>+D229</f>
        <v>0.66700000000000004</v>
      </c>
      <c r="I229" s="94">
        <v>2</v>
      </c>
      <c r="J229" s="99">
        <v>3</v>
      </c>
      <c r="K229" s="100">
        <f>+IF(D229=0.667,E229*F229*G229*H229*J229,0)</f>
        <v>0</v>
      </c>
      <c r="L229" s="100">
        <f>+IF(D229=0.333,E229*F229*G229*J229,0)</f>
        <v>0</v>
      </c>
      <c r="M229" s="99">
        <v>4</v>
      </c>
      <c r="N229" s="100">
        <f>+IF(D229=0.667,E229*F229*G229*H229*M229,0)</f>
        <v>0</v>
      </c>
      <c r="O229" s="100">
        <f>+IF(D229=0.333,E229*F229*G229*M229,0)</f>
        <v>0</v>
      </c>
      <c r="P229" s="27">
        <f>11.833-I229-M229-J229</f>
        <v>2.8330000000000002</v>
      </c>
      <c r="Q229" s="100">
        <f>+IF(D229=0.667,E229*F229*G229*H229*P229,0)</f>
        <v>0</v>
      </c>
      <c r="R229" s="100">
        <f>+IF(D229=0.333,E229*F229*G229*P229,0)</f>
        <v>0</v>
      </c>
      <c r="S229" s="101">
        <f t="shared" si="712"/>
        <v>0</v>
      </c>
      <c r="T229" s="101">
        <f t="shared" si="712"/>
        <v>0</v>
      </c>
      <c r="U229" s="92"/>
      <c r="V229" s="91"/>
      <c r="W229" s="102"/>
      <c r="X229" s="98"/>
      <c r="Y229" s="102"/>
      <c r="Z229" s="98"/>
      <c r="AA229" s="98"/>
      <c r="AB229" s="98"/>
      <c r="AC229" s="91"/>
      <c r="AD229" s="98"/>
      <c r="AE229" s="98"/>
      <c r="AF229" s="98"/>
      <c r="AG229" s="91"/>
      <c r="AH229" s="305">
        <v>1</v>
      </c>
      <c r="AI229" s="299">
        <f>+AH229*G229*D229*0.17</f>
        <v>0.93938228975000004</v>
      </c>
      <c r="AK229" s="301">
        <f t="shared" si="713"/>
        <v>0</v>
      </c>
      <c r="AL229" s="301">
        <f t="shared" si="714"/>
        <v>0</v>
      </c>
      <c r="AM229" s="301"/>
      <c r="AN229" s="301">
        <f>+IF(D229=0.333,1.33,0)</f>
        <v>0</v>
      </c>
      <c r="AO229" s="299"/>
      <c r="AP229" s="301"/>
      <c r="AQ229" s="301"/>
      <c r="AT229" s="694">
        <f t="shared" si="618"/>
        <v>0</v>
      </c>
    </row>
    <row r="230" spans="2:46" ht="20.100000000000001" customHeight="1" x14ac:dyDescent="0.3">
      <c r="B230" s="18"/>
      <c r="C230" s="62" t="s">
        <v>48</v>
      </c>
      <c r="D230" s="298">
        <v>0.66700000000000004</v>
      </c>
      <c r="E230" s="689">
        <f>-1*0</f>
        <v>0</v>
      </c>
      <c r="F230" s="689">
        <f>1*0</f>
        <v>0</v>
      </c>
      <c r="G230" s="20">
        <v>5</v>
      </c>
      <c r="H230" s="20">
        <f t="shared" ref="H230" si="726">+D230</f>
        <v>0.66700000000000004</v>
      </c>
      <c r="I230" s="21"/>
      <c r="J230" s="81"/>
      <c r="K230" s="103">
        <f t="shared" ref="K230" si="727">+IF(D230=0.667,E230*F230*G230*H230*J230,0)</f>
        <v>0</v>
      </c>
      <c r="L230" s="103">
        <f t="shared" ref="L230" si="728">+IF(D230=0.333,E230*F230*G230*J230,0)</f>
        <v>0</v>
      </c>
      <c r="M230" s="81">
        <v>2.25</v>
      </c>
      <c r="N230" s="103">
        <f t="shared" ref="N230" si="729">+IF(D230=0.667,E230*F230*G230*H230*M230,0)</f>
        <v>0</v>
      </c>
      <c r="O230" s="103">
        <f t="shared" ref="O230" si="730">+IF(D230=0.333,E230*F230*G230*M230,0)</f>
        <v>0</v>
      </c>
      <c r="P230" s="27"/>
      <c r="Q230" s="103">
        <f t="shared" ref="Q230" si="731">+IF(D230=0.667,E230*F230*G230*H230*P230,0)</f>
        <v>0</v>
      </c>
      <c r="R230" s="103">
        <f t="shared" ref="R230" si="732">+IF(D230=0.333,E230*F230*G230*P230,0)</f>
        <v>0</v>
      </c>
      <c r="S230" s="104">
        <f t="shared" si="712"/>
        <v>0</v>
      </c>
      <c r="T230" s="104">
        <f t="shared" si="712"/>
        <v>0</v>
      </c>
      <c r="U230" s="18"/>
      <c r="V230" s="26"/>
      <c r="W230" s="21">
        <f>+G230+D230</f>
        <v>5.6669999999999998</v>
      </c>
      <c r="X230" s="21">
        <v>0.5</v>
      </c>
      <c r="Y230" s="21">
        <f>+IF(D230=0.667,-E230*F230*H230*W230*X230,0)</f>
        <v>0</v>
      </c>
      <c r="Z230" s="21">
        <f>+IF(D230=0.333,-E230*F230*H230*W230*X230,0)</f>
        <v>0</v>
      </c>
      <c r="AA230" s="21">
        <f>+F230*G230*H230</f>
        <v>0</v>
      </c>
      <c r="AB230" s="21">
        <f t="shared" ref="AB230" si="733">2*F230*W230*X230</f>
        <v>0</v>
      </c>
      <c r="AC230" s="27"/>
      <c r="AD230" s="21">
        <v>0.16700000000000001</v>
      </c>
      <c r="AE230" s="21">
        <f t="shared" ref="AE230" si="734">+IF(D230=0.667,AD230*W230*H230*F230,0)</f>
        <v>0</v>
      </c>
      <c r="AF230" s="21">
        <f t="shared" ref="AF230" si="735">+IF(D230=0.333,AD230*W230*H230*F230,0)</f>
        <v>0</v>
      </c>
      <c r="AG230" s="27"/>
      <c r="AH230" s="396"/>
      <c r="AI230" s="21">
        <f t="shared" ref="AI230" si="736">+AH230*G230*D230*0.17</f>
        <v>0</v>
      </c>
      <c r="AK230" s="301"/>
      <c r="AL230" s="301"/>
      <c r="AM230" s="301"/>
      <c r="AN230" s="301"/>
      <c r="AO230" s="299"/>
      <c r="AP230" s="301"/>
      <c r="AQ230" s="301"/>
      <c r="AT230" s="694">
        <f t="shared" si="618"/>
        <v>0</v>
      </c>
    </row>
    <row r="231" spans="2:46" ht="20.100000000000001" customHeight="1" x14ac:dyDescent="0.3">
      <c r="B231" s="92"/>
      <c r="C231" s="62" t="s">
        <v>342</v>
      </c>
      <c r="D231" s="98">
        <v>0.33300000000000002</v>
      </c>
      <c r="E231" s="688">
        <f>1*0</f>
        <v>0</v>
      </c>
      <c r="F231" s="688">
        <f>1*0</f>
        <v>0</v>
      </c>
      <c r="G231" s="98">
        <f>(4.775+2.135+2.135+3.275)*3.281</f>
        <v>40.42192</v>
      </c>
      <c r="H231" s="98">
        <f>+D231</f>
        <v>0.33300000000000002</v>
      </c>
      <c r="I231" s="94">
        <v>2</v>
      </c>
      <c r="J231" s="99">
        <v>3</v>
      </c>
      <c r="K231" s="100">
        <f>+IF(D231=0.667,E231*F231*G231*H231*J231,0)</f>
        <v>0</v>
      </c>
      <c r="L231" s="100">
        <f>+IF(D231=0.333,E231*F231*G231*J231,0)</f>
        <v>0</v>
      </c>
      <c r="M231" s="99">
        <v>4</v>
      </c>
      <c r="N231" s="100">
        <f>+IF(D231=0.667,E231*F231*G231*H231*M231,0)</f>
        <v>0</v>
      </c>
      <c r="O231" s="100">
        <f>+IF(D231=0.333,E231*F231*G231*M231,0)</f>
        <v>0</v>
      </c>
      <c r="P231" s="27">
        <f>11.833-I231-M231-J231</f>
        <v>2.8330000000000002</v>
      </c>
      <c r="Q231" s="100">
        <f>+IF(D231=0.667,E231*F231*G231*H231*P231,0)</f>
        <v>0</v>
      </c>
      <c r="R231" s="100">
        <f>+IF(D231=0.333,E231*F231*G231*P231,0)</f>
        <v>0</v>
      </c>
      <c r="S231" s="101">
        <f t="shared" si="712"/>
        <v>0</v>
      </c>
      <c r="T231" s="101">
        <f t="shared" si="712"/>
        <v>0</v>
      </c>
      <c r="U231" s="92"/>
      <c r="V231" s="91"/>
      <c r="W231" s="102"/>
      <c r="X231" s="98"/>
      <c r="Y231" s="102"/>
      <c r="Z231" s="98"/>
      <c r="AA231" s="98"/>
      <c r="AB231" s="98"/>
      <c r="AC231" s="91"/>
      <c r="AD231" s="98"/>
      <c r="AE231" s="98"/>
      <c r="AF231" s="98"/>
      <c r="AG231" s="91"/>
      <c r="AH231" s="304">
        <v>1</v>
      </c>
      <c r="AI231" s="299">
        <f>+AH231*G231*D231*0.17</f>
        <v>2.2882848912</v>
      </c>
      <c r="AK231" s="301">
        <f t="shared" si="713"/>
        <v>0</v>
      </c>
      <c r="AL231" s="301">
        <f t="shared" si="714"/>
        <v>0</v>
      </c>
      <c r="AM231" s="301"/>
      <c r="AN231" s="301"/>
      <c r="AO231" s="299"/>
      <c r="AP231" s="301"/>
      <c r="AQ231" s="301"/>
      <c r="AT231" s="694">
        <f t="shared" si="618"/>
        <v>0</v>
      </c>
    </row>
    <row r="232" spans="2:46" ht="20.100000000000001" customHeight="1" x14ac:dyDescent="0.3">
      <c r="B232" s="18"/>
      <c r="C232" s="62" t="s">
        <v>337</v>
      </c>
      <c r="D232" s="98">
        <v>0.33300000000000002</v>
      </c>
      <c r="E232" s="689">
        <f>-1*0</f>
        <v>0</v>
      </c>
      <c r="F232" s="689">
        <f>3*0</f>
        <v>0</v>
      </c>
      <c r="G232" s="20">
        <v>2.5</v>
      </c>
      <c r="H232" s="20">
        <f t="shared" ref="H232:H233" si="737">+D232</f>
        <v>0.33300000000000002</v>
      </c>
      <c r="I232" s="21"/>
      <c r="J232" s="81">
        <v>3</v>
      </c>
      <c r="K232" s="103">
        <f t="shared" ref="K232:K233" si="738">+IF(D232=0.667,E232*F232*G232*H232*J232,0)</f>
        <v>0</v>
      </c>
      <c r="L232" s="103">
        <f t="shared" ref="L232:L233" si="739">+IF(D232=0.333,E232*F232*G232*J232,0)</f>
        <v>0</v>
      </c>
      <c r="M232" s="81">
        <v>3</v>
      </c>
      <c r="N232" s="103">
        <f t="shared" ref="N232:N233" si="740">+IF(D232=0.667,E232*F232*G232*H232*M232,0)</f>
        <v>0</v>
      </c>
      <c r="O232" s="103">
        <f t="shared" ref="O232:O233" si="741">+IF(D232=0.333,E232*F232*G232*M232,0)</f>
        <v>0</v>
      </c>
      <c r="P232" s="27"/>
      <c r="Q232" s="103">
        <f t="shared" ref="Q232:Q233" si="742">+IF(D232=0.667,E232*F232*G232*H232*P232,0)</f>
        <v>0</v>
      </c>
      <c r="R232" s="103">
        <f t="shared" ref="R232:R233" si="743">+IF(D232=0.333,E232*F232*G232*P232,0)</f>
        <v>0</v>
      </c>
      <c r="S232" s="104">
        <f t="shared" si="712"/>
        <v>0</v>
      </c>
      <c r="T232" s="104">
        <f t="shared" si="712"/>
        <v>0</v>
      </c>
      <c r="U232" s="18"/>
      <c r="V232" s="26"/>
      <c r="W232" s="21">
        <f>+G232+D232</f>
        <v>2.8330000000000002</v>
      </c>
      <c r="X232" s="21">
        <v>0.5</v>
      </c>
      <c r="Y232" s="21">
        <f>+IF(D232=0.667,-E232*F232*H232*W232*X232,0)</f>
        <v>0</v>
      </c>
      <c r="Z232" s="21">
        <f>+IF(D232=0.333,-E232*F232*H232*W232*X232,0)</f>
        <v>0</v>
      </c>
      <c r="AA232" s="21">
        <f>+F232*G232*H232</f>
        <v>0</v>
      </c>
      <c r="AB232" s="21">
        <f t="shared" ref="AB232:AB233" si="744">2*F232*W232*X232</f>
        <v>0</v>
      </c>
      <c r="AC232" s="27"/>
      <c r="AD232" s="21"/>
      <c r="AE232" s="21">
        <f t="shared" ref="AE232:AE233" si="745">+IF(D232=0.667,AD232*W232*H232*F232,0)</f>
        <v>0</v>
      </c>
      <c r="AF232" s="21">
        <f t="shared" ref="AF232:AF233" si="746">+IF(D232=0.333,AD232*W232*H232*F232,0)</f>
        <v>0</v>
      </c>
      <c r="AG232" s="27"/>
      <c r="AH232" s="396"/>
      <c r="AI232" s="21">
        <f t="shared" ref="AI232:AI233" si="747">+AH232*G232*D232*0.17</f>
        <v>0</v>
      </c>
      <c r="AK232" s="301">
        <f t="shared" si="713"/>
        <v>0</v>
      </c>
      <c r="AL232" s="301">
        <f t="shared" si="714"/>
        <v>0</v>
      </c>
      <c r="AM232" s="301"/>
      <c r="AN232" s="301">
        <f>+IF(D232=0.333,1.33,0)*0</f>
        <v>0</v>
      </c>
      <c r="AO232" s="299"/>
      <c r="AP232" s="301"/>
      <c r="AQ232" s="301"/>
      <c r="AT232" s="694">
        <f t="shared" si="618"/>
        <v>0</v>
      </c>
    </row>
    <row r="233" spans="2:46" ht="20.100000000000001" customHeight="1" x14ac:dyDescent="0.3">
      <c r="B233" s="18"/>
      <c r="C233" s="62" t="s">
        <v>341</v>
      </c>
      <c r="D233" s="98">
        <v>0.33300000000000002</v>
      </c>
      <c r="E233" s="689">
        <f>-1*0</f>
        <v>0</v>
      </c>
      <c r="F233" s="689">
        <f>1*0</f>
        <v>0</v>
      </c>
      <c r="G233" s="20">
        <v>3.25</v>
      </c>
      <c r="H233" s="20">
        <f t="shared" si="737"/>
        <v>0.33300000000000002</v>
      </c>
      <c r="I233" s="21"/>
      <c r="J233" s="81">
        <v>3</v>
      </c>
      <c r="K233" s="103">
        <f t="shared" si="738"/>
        <v>0</v>
      </c>
      <c r="L233" s="103">
        <f t="shared" si="739"/>
        <v>0</v>
      </c>
      <c r="M233" s="81">
        <v>3</v>
      </c>
      <c r="N233" s="103">
        <f t="shared" si="740"/>
        <v>0</v>
      </c>
      <c r="O233" s="103">
        <f t="shared" si="741"/>
        <v>0</v>
      </c>
      <c r="P233" s="27"/>
      <c r="Q233" s="103">
        <f t="shared" si="742"/>
        <v>0</v>
      </c>
      <c r="R233" s="103">
        <f t="shared" si="743"/>
        <v>0</v>
      </c>
      <c r="S233" s="104">
        <f t="shared" si="712"/>
        <v>0</v>
      </c>
      <c r="T233" s="104">
        <f t="shared" si="712"/>
        <v>0</v>
      </c>
      <c r="U233" s="18"/>
      <c r="V233" s="26"/>
      <c r="W233" s="21">
        <f>+G233+D233</f>
        <v>3.5830000000000002</v>
      </c>
      <c r="X233" s="21">
        <v>0.5</v>
      </c>
      <c r="Y233" s="21">
        <f>+IF(D233=0.667,-E233*F233*H233*W233*X233,0)</f>
        <v>0</v>
      </c>
      <c r="Z233" s="21">
        <f>+IF(D233=0.333,-E233*F233*H233*W233*X233,0)</f>
        <v>0</v>
      </c>
      <c r="AA233" s="21">
        <f>+F233*G233*H233</f>
        <v>0</v>
      </c>
      <c r="AB233" s="21">
        <f t="shared" si="744"/>
        <v>0</v>
      </c>
      <c r="AC233" s="27"/>
      <c r="AD233" s="21"/>
      <c r="AE233" s="21">
        <f t="shared" si="745"/>
        <v>0</v>
      </c>
      <c r="AF233" s="21">
        <f t="shared" si="746"/>
        <v>0</v>
      </c>
      <c r="AG233" s="27"/>
      <c r="AH233" s="396"/>
      <c r="AI233" s="21">
        <f t="shared" si="747"/>
        <v>0</v>
      </c>
      <c r="AK233" s="301">
        <f t="shared" si="713"/>
        <v>0</v>
      </c>
      <c r="AL233" s="301">
        <f t="shared" si="714"/>
        <v>0</v>
      </c>
      <c r="AM233" s="301"/>
      <c r="AN233" s="301">
        <f>+IF(D233=0.333,1.33,0)*0</f>
        <v>0</v>
      </c>
      <c r="AO233" s="299"/>
      <c r="AP233" s="301"/>
      <c r="AQ233" s="301"/>
      <c r="AT233" s="694">
        <f t="shared" si="618"/>
        <v>0</v>
      </c>
    </row>
    <row r="234" spans="2:46" ht="20.100000000000001" customHeight="1" x14ac:dyDescent="0.3">
      <c r="B234" s="92"/>
      <c r="C234" s="95" t="s">
        <v>331</v>
      </c>
      <c r="D234" s="98">
        <v>0.66700000000000004</v>
      </c>
      <c r="E234" s="688">
        <f>1*0</f>
        <v>0</v>
      </c>
      <c r="F234" s="688">
        <f>1*0</f>
        <v>0</v>
      </c>
      <c r="G234" s="98">
        <f>(1.178+0.914+0.716)*3.281</f>
        <v>9.2130480000000006</v>
      </c>
      <c r="H234" s="98">
        <f>+D234</f>
        <v>0.66700000000000004</v>
      </c>
      <c r="I234" s="94">
        <v>2</v>
      </c>
      <c r="J234" s="99">
        <v>3</v>
      </c>
      <c r="K234" s="100">
        <f>+IF(D234=0.667,E234*F234*G234*H234*J234,0)</f>
        <v>0</v>
      </c>
      <c r="L234" s="100">
        <f>+IF(D234=0.333,E234*F234*G234*J234,0)</f>
        <v>0</v>
      </c>
      <c r="M234" s="99">
        <v>4</v>
      </c>
      <c r="N234" s="100">
        <f>+IF(D234=0.667,E234*F234*G234*H234*M234,0)</f>
        <v>0</v>
      </c>
      <c r="O234" s="100">
        <f>+IF(D234=0.333,E234*F234*G234*M234,0)</f>
        <v>0</v>
      </c>
      <c r="P234" s="27">
        <f>11.833-I234-M234-J234</f>
        <v>2.8330000000000002</v>
      </c>
      <c r="Q234" s="100">
        <f>+IF(D234=0.667,E234*F234*G234*H234*P234,0)</f>
        <v>0</v>
      </c>
      <c r="R234" s="100">
        <f>+IF(D234=0.333,E234*F234*G234*P234,0)</f>
        <v>0</v>
      </c>
      <c r="S234" s="101">
        <f t="shared" si="712"/>
        <v>0</v>
      </c>
      <c r="T234" s="101">
        <f t="shared" si="712"/>
        <v>0</v>
      </c>
      <c r="U234" s="92"/>
      <c r="V234" s="91"/>
      <c r="W234" s="102"/>
      <c r="X234" s="98"/>
      <c r="Y234" s="102"/>
      <c r="Z234" s="98"/>
      <c r="AA234" s="98"/>
      <c r="AB234" s="98"/>
      <c r="AC234" s="91"/>
      <c r="AD234" s="98"/>
      <c r="AE234" s="98"/>
      <c r="AF234" s="98"/>
      <c r="AG234" s="91"/>
      <c r="AH234" s="305">
        <v>1</v>
      </c>
      <c r="AI234" s="299">
        <f>+AH234*G234*D234*0.17</f>
        <v>1.0446675127200002</v>
      </c>
      <c r="AK234" s="301">
        <f t="shared" si="713"/>
        <v>0</v>
      </c>
      <c r="AL234" s="301">
        <f t="shared" si="714"/>
        <v>0</v>
      </c>
      <c r="AM234" s="301"/>
      <c r="AN234" s="301">
        <f>+IF(D234=0.333,1.33,0)</f>
        <v>0</v>
      </c>
      <c r="AO234" s="299"/>
      <c r="AP234" s="301"/>
      <c r="AQ234" s="301"/>
      <c r="AT234" s="694">
        <f t="shared" si="618"/>
        <v>0</v>
      </c>
    </row>
    <row r="235" spans="2:46" ht="20.100000000000001" customHeight="1" x14ac:dyDescent="0.3">
      <c r="B235" s="369"/>
      <c r="C235" s="395"/>
      <c r="D235" s="371"/>
      <c r="E235" s="369"/>
      <c r="F235" s="369"/>
      <c r="G235" s="371"/>
      <c r="H235" s="371"/>
      <c r="I235" s="372"/>
      <c r="J235" s="371"/>
      <c r="K235" s="371"/>
      <c r="L235" s="371"/>
      <c r="M235" s="371"/>
      <c r="N235" s="371"/>
      <c r="O235" s="371"/>
      <c r="P235" s="633"/>
      <c r="Q235" s="371"/>
      <c r="R235" s="371"/>
      <c r="S235" s="371"/>
      <c r="T235" s="371"/>
      <c r="U235" s="369"/>
      <c r="V235" s="370"/>
      <c r="W235" s="372"/>
      <c r="X235" s="371"/>
      <c r="Y235" s="372"/>
      <c r="Z235" s="371"/>
      <c r="AA235" s="371"/>
      <c r="AB235" s="371"/>
      <c r="AC235" s="370"/>
      <c r="AD235" s="371"/>
      <c r="AE235" s="371"/>
      <c r="AF235" s="371"/>
      <c r="AG235" s="370"/>
      <c r="AH235" s="376"/>
      <c r="AI235" s="372"/>
      <c r="AK235" s="377"/>
      <c r="AL235" s="377"/>
      <c r="AM235" s="377"/>
      <c r="AN235" s="377"/>
      <c r="AO235" s="372"/>
      <c r="AP235" s="377"/>
      <c r="AQ235" s="377"/>
      <c r="AT235" s="694">
        <f t="shared" si="618"/>
        <v>0</v>
      </c>
    </row>
    <row r="236" spans="2:46" ht="20.100000000000001" customHeight="1" x14ac:dyDescent="0.3">
      <c r="B236" s="369"/>
      <c r="C236" s="97" t="s">
        <v>367</v>
      </c>
      <c r="D236" s="371"/>
      <c r="E236" s="369"/>
      <c r="F236" s="369"/>
      <c r="G236" s="371"/>
      <c r="H236" s="371"/>
      <c r="I236" s="372"/>
      <c r="J236" s="371"/>
      <c r="K236" s="371"/>
      <c r="L236" s="371"/>
      <c r="M236" s="371"/>
      <c r="N236" s="371"/>
      <c r="O236" s="371"/>
      <c r="P236" s="633"/>
      <c r="Q236" s="371"/>
      <c r="R236" s="371"/>
      <c r="S236" s="371"/>
      <c r="T236" s="371"/>
      <c r="U236" s="369"/>
      <c r="V236" s="370"/>
      <c r="W236" s="372"/>
      <c r="X236" s="371"/>
      <c r="Y236" s="372"/>
      <c r="Z236" s="371"/>
      <c r="AA236" s="371"/>
      <c r="AB236" s="371"/>
      <c r="AC236" s="370"/>
      <c r="AD236" s="371"/>
      <c r="AE236" s="371"/>
      <c r="AF236" s="371"/>
      <c r="AG236" s="370"/>
      <c r="AH236" s="376"/>
      <c r="AI236" s="372"/>
      <c r="AK236" s="377"/>
      <c r="AL236" s="377"/>
      <c r="AM236" s="377"/>
      <c r="AN236" s="377"/>
      <c r="AO236" s="372"/>
      <c r="AP236" s="377"/>
      <c r="AQ236" s="377"/>
      <c r="AT236" s="694">
        <f t="shared" si="618"/>
        <v>0</v>
      </c>
    </row>
    <row r="237" spans="2:46" ht="20.100000000000001" customHeight="1" x14ac:dyDescent="0.3">
      <c r="B237" s="92"/>
      <c r="C237" s="95" t="s">
        <v>31</v>
      </c>
      <c r="D237" s="98">
        <v>0.66700000000000004</v>
      </c>
      <c r="E237" s="92">
        <v>1</v>
      </c>
      <c r="F237" s="92">
        <v>1</v>
      </c>
      <c r="G237" s="555">
        <f>(3.348+2.237)*3.281</f>
        <v>18.324384999999999</v>
      </c>
      <c r="H237" s="98">
        <f>+D237</f>
        <v>0.66700000000000004</v>
      </c>
      <c r="I237" s="94">
        <v>2</v>
      </c>
      <c r="J237" s="99">
        <v>3</v>
      </c>
      <c r="K237" s="100">
        <f>+IF(D237=0.667,E237*F237*G237*H237*J237,0)</f>
        <v>36.667094384999999</v>
      </c>
      <c r="L237" s="100">
        <f>+IF(D237=0.333,E237*F237*G237*J237,0)</f>
        <v>0</v>
      </c>
      <c r="M237" s="99">
        <v>4</v>
      </c>
      <c r="N237" s="100">
        <f>+IF(D237=0.667,E237*F237*G237*H237*M237,0)</f>
        <v>48.889459180000003</v>
      </c>
      <c r="O237" s="100">
        <f>+IF(D237=0.333,E237*F237*G237*M237,0)</f>
        <v>0</v>
      </c>
      <c r="P237" s="27">
        <f t="shared" ref="P237:P238" si="748">11.833-I237-M237-J237</f>
        <v>2.8330000000000002</v>
      </c>
      <c r="Q237" s="100">
        <f>+IF(D237=0.667,E237*F237*G237*H237*P237,0)</f>
        <v>34.625959464235002</v>
      </c>
      <c r="R237" s="100">
        <f>+IF(D237=0.333,E237*F237*G237*P237,0)</f>
        <v>0</v>
      </c>
      <c r="S237" s="101">
        <f t="shared" ref="S237:T240" si="749">+Q237+N237+K237</f>
        <v>120.18251302923501</v>
      </c>
      <c r="T237" s="101">
        <f t="shared" si="749"/>
        <v>0</v>
      </c>
      <c r="U237" s="92"/>
      <c r="V237" s="91"/>
      <c r="W237" s="102"/>
      <c r="X237" s="98"/>
      <c r="Y237" s="102"/>
      <c r="Z237" s="98"/>
      <c r="AA237" s="98"/>
      <c r="AB237" s="98"/>
      <c r="AC237" s="91"/>
      <c r="AD237" s="98"/>
      <c r="AE237" s="98"/>
      <c r="AF237" s="98"/>
      <c r="AG237" s="91"/>
      <c r="AH237" s="305">
        <v>1</v>
      </c>
      <c r="AI237" s="299">
        <f>+AH237*G237*D237*0.17</f>
        <v>2.0778020151500001</v>
      </c>
      <c r="AK237" s="301">
        <f t="shared" ref="AK237:AK238" si="750">+IF(D237=0.667,E237*F237*G237,0)</f>
        <v>18.324384999999999</v>
      </c>
      <c r="AL237" s="301">
        <f t="shared" ref="AL237:AL240" si="751">+IF(D237=0.333,E237*F237*G237,0)</f>
        <v>0</v>
      </c>
      <c r="AM237" s="301"/>
      <c r="AN237" s="301">
        <f>+IF(D237=0.333,1.33,0)</f>
        <v>0</v>
      </c>
      <c r="AO237" s="299"/>
      <c r="AP237" s="301"/>
      <c r="AQ237" s="301"/>
      <c r="AT237" s="694">
        <f t="shared" si="618"/>
        <v>18.324384999999999</v>
      </c>
    </row>
    <row r="238" spans="2:46" ht="20.100000000000001" customHeight="1" x14ac:dyDescent="0.3">
      <c r="B238" s="92"/>
      <c r="C238" s="95" t="s">
        <v>32</v>
      </c>
      <c r="D238" s="98">
        <v>0.66700000000000004</v>
      </c>
      <c r="E238" s="92">
        <v>1</v>
      </c>
      <c r="F238" s="92">
        <v>1</v>
      </c>
      <c r="G238" s="555">
        <f>(3.555*0+2.237*0+4.145)*3.281</f>
        <v>13.599744999999999</v>
      </c>
      <c r="H238" s="98">
        <f>+D238</f>
        <v>0.66700000000000004</v>
      </c>
      <c r="I238" s="94">
        <v>2</v>
      </c>
      <c r="J238" s="99">
        <v>3</v>
      </c>
      <c r="K238" s="100">
        <f>+IF(D238=0.667,E238*F238*G238*H238*J238,0)</f>
        <v>27.213089745000001</v>
      </c>
      <c r="L238" s="100">
        <f>+IF(D238=0.333,E238*F238*G238*J238,0)</f>
        <v>0</v>
      </c>
      <c r="M238" s="99">
        <v>4</v>
      </c>
      <c r="N238" s="100">
        <f>+IF(D238=0.667,E238*F238*G238*H238*M238,0)</f>
        <v>36.284119660000002</v>
      </c>
      <c r="O238" s="100">
        <f>+IF(D238=0.333,E238*F238*G238*M238,0)</f>
        <v>0</v>
      </c>
      <c r="P238" s="27">
        <f t="shared" si="748"/>
        <v>2.8330000000000002</v>
      </c>
      <c r="Q238" s="100">
        <f>+IF(D238=0.667,E238*F238*G238*H238*P238,0)</f>
        <v>25.698227749195002</v>
      </c>
      <c r="R238" s="100">
        <f>+IF(D238=0.333,E238*F238*G238*P238,0)</f>
        <v>0</v>
      </c>
      <c r="S238" s="101">
        <f t="shared" si="749"/>
        <v>89.195437154195005</v>
      </c>
      <c r="T238" s="101">
        <f t="shared" si="749"/>
        <v>0</v>
      </c>
      <c r="U238" s="92"/>
      <c r="V238" s="91"/>
      <c r="W238" s="102"/>
      <c r="X238" s="98"/>
      <c r="Y238" s="102"/>
      <c r="Z238" s="98"/>
      <c r="AA238" s="98"/>
      <c r="AB238" s="98"/>
      <c r="AC238" s="91"/>
      <c r="AD238" s="98"/>
      <c r="AE238" s="98"/>
      <c r="AF238" s="98"/>
      <c r="AG238" s="91"/>
      <c r="AH238" s="305">
        <v>1</v>
      </c>
      <c r="AI238" s="299">
        <f>+AH238*G238*D238*0.17</f>
        <v>1.5420750855500003</v>
      </c>
      <c r="AK238" s="301">
        <f t="shared" si="750"/>
        <v>13.599744999999999</v>
      </c>
      <c r="AL238" s="301">
        <f t="shared" si="751"/>
        <v>0</v>
      </c>
      <c r="AM238" s="301"/>
      <c r="AN238" s="301">
        <f>+IF(D238=0.333,1.33,0)</f>
        <v>0</v>
      </c>
      <c r="AO238" s="299"/>
      <c r="AP238" s="301"/>
      <c r="AQ238" s="301"/>
      <c r="AT238" s="694">
        <f t="shared" si="618"/>
        <v>13.599744999999999</v>
      </c>
    </row>
    <row r="239" spans="2:46" ht="20.100000000000001" customHeight="1" x14ac:dyDescent="0.3">
      <c r="B239" s="92"/>
      <c r="C239" s="95" t="s">
        <v>558</v>
      </c>
      <c r="D239" s="98">
        <v>0.66700000000000004</v>
      </c>
      <c r="E239" s="92">
        <v>-1</v>
      </c>
      <c r="F239" s="92">
        <v>1</v>
      </c>
      <c r="G239" s="555">
        <v>6</v>
      </c>
      <c r="H239" s="98">
        <f t="shared" ref="H239" si="752">+D239</f>
        <v>0.66700000000000004</v>
      </c>
      <c r="I239" s="94"/>
      <c r="J239" s="99"/>
      <c r="K239" s="100">
        <f t="shared" ref="K239" si="753">+IF(D239=0.667,E239*F239*G239*H239*J239,0)</f>
        <v>0</v>
      </c>
      <c r="L239" s="100">
        <f t="shared" ref="L239" si="754">+IF(D239=0.333,E239*F239*G239*J239,0)</f>
        <v>0</v>
      </c>
      <c r="M239" s="99">
        <v>4</v>
      </c>
      <c r="N239" s="100">
        <f t="shared" ref="N239" si="755">+IF(D239=0.667,E239*F239*G239*H239*M239,0)</f>
        <v>-16.008000000000003</v>
      </c>
      <c r="O239" s="100">
        <f t="shared" ref="O239" si="756">+IF(D239=0.333,E239*F239*G239*M239,0)</f>
        <v>0</v>
      </c>
      <c r="P239" s="27">
        <v>0</v>
      </c>
      <c r="Q239" s="100">
        <f t="shared" ref="Q239" si="757">+IF(D239=0.667,E239*F239*G239*H239*P239,0)</f>
        <v>0</v>
      </c>
      <c r="R239" s="100">
        <f t="shared" ref="R239" si="758">+IF(D239=0.333,E239*F239*G239*P239,0)</f>
        <v>0</v>
      </c>
      <c r="S239" s="101">
        <f t="shared" si="749"/>
        <v>-16.008000000000003</v>
      </c>
      <c r="T239" s="101">
        <f t="shared" si="749"/>
        <v>0</v>
      </c>
      <c r="U239" s="92"/>
      <c r="V239" s="91"/>
      <c r="W239" s="102">
        <f>+G239+D239</f>
        <v>6.6669999999999998</v>
      </c>
      <c r="X239" s="98">
        <v>0.5</v>
      </c>
      <c r="Y239" s="102">
        <f>+IF(D239=0.667,-E239*F239*H239*W239*X239,0)</f>
        <v>2.2234445000000003</v>
      </c>
      <c r="Z239" s="98">
        <f>+IF(D239=0.333,-E239*F239*H239*W239*X239,0)</f>
        <v>0</v>
      </c>
      <c r="AA239" s="98">
        <f>+F239*G239*H239</f>
        <v>4.0020000000000007</v>
      </c>
      <c r="AB239" s="98">
        <f t="shared" ref="AB239" si="759">2*F239*W239*X239</f>
        <v>6.6669999999999998</v>
      </c>
      <c r="AC239" s="91"/>
      <c r="AD239" s="98">
        <v>0.16700000000000001</v>
      </c>
      <c r="AE239" s="98">
        <f t="shared" ref="AE239" si="760">+IF(D239=0.667,AD239*W239*H239*F239,0)</f>
        <v>0.74263046300000002</v>
      </c>
      <c r="AF239" s="98">
        <f t="shared" ref="AF239" si="761">+IF(D239=0.333,AD239*W239*H239*F239,0)</f>
        <v>0</v>
      </c>
      <c r="AG239" s="91"/>
      <c r="AH239" s="305"/>
      <c r="AI239" s="299">
        <f t="shared" ref="AI239" si="762">+AH239*G239*D239*0.17</f>
        <v>0</v>
      </c>
      <c r="AK239" s="301"/>
      <c r="AL239" s="301">
        <f t="shared" si="751"/>
        <v>0</v>
      </c>
      <c r="AM239" s="301"/>
      <c r="AN239" s="301"/>
      <c r="AO239" s="299"/>
      <c r="AP239" s="301"/>
      <c r="AQ239" s="301"/>
      <c r="AT239" s="694">
        <f t="shared" si="618"/>
        <v>-6</v>
      </c>
    </row>
    <row r="240" spans="2:46" ht="20.100000000000001" customHeight="1" x14ac:dyDescent="0.3">
      <c r="B240" s="92"/>
      <c r="C240" s="95" t="s">
        <v>38</v>
      </c>
      <c r="D240" s="98">
        <v>0.66700000000000004</v>
      </c>
      <c r="E240" s="92">
        <v>1</v>
      </c>
      <c r="F240" s="92">
        <v>1</v>
      </c>
      <c r="G240" s="555">
        <f>(1.5+1.644)*3.281</f>
        <v>10.315464</v>
      </c>
      <c r="H240" s="98">
        <f>+D240</f>
        <v>0.66700000000000004</v>
      </c>
      <c r="I240" s="94">
        <v>2</v>
      </c>
      <c r="J240" s="99">
        <v>3</v>
      </c>
      <c r="K240" s="100">
        <f>+IF(D240=0.667,E240*F240*G240*H240*J240,0)</f>
        <v>20.641243464000002</v>
      </c>
      <c r="L240" s="100">
        <f>+IF(D240=0.333,E240*F240*G240*J240,0)</f>
        <v>0</v>
      </c>
      <c r="M240" s="99">
        <v>4</v>
      </c>
      <c r="N240" s="100">
        <f>+IF(D240=0.667,E240*F240*G240*H240*M240,0)</f>
        <v>27.521657952000002</v>
      </c>
      <c r="O240" s="100">
        <f>+IF(D240=0.333,E240*F240*G240*M240,0)</f>
        <v>0</v>
      </c>
      <c r="P240" s="27">
        <f>11.833-I240-M240-J240</f>
        <v>2.8330000000000002</v>
      </c>
      <c r="Q240" s="100">
        <f>+IF(D240=0.667,E240*F240*G240*H240*P240,0)</f>
        <v>19.492214244504002</v>
      </c>
      <c r="R240" s="100">
        <f>+IF(D240=0.333,E240*F240*G240*P240,0)</f>
        <v>0</v>
      </c>
      <c r="S240" s="101">
        <f t="shared" si="749"/>
        <v>67.655115660504009</v>
      </c>
      <c r="T240" s="101">
        <f t="shared" si="749"/>
        <v>0</v>
      </c>
      <c r="U240" s="92"/>
      <c r="V240" s="91"/>
      <c r="W240" s="102"/>
      <c r="X240" s="98"/>
      <c r="Y240" s="102"/>
      <c r="Z240" s="98"/>
      <c r="AA240" s="98"/>
      <c r="AB240" s="98"/>
      <c r="AC240" s="91"/>
      <c r="AD240" s="98"/>
      <c r="AE240" s="98"/>
      <c r="AF240" s="98"/>
      <c r="AG240" s="91"/>
      <c r="AH240" s="305">
        <v>1</v>
      </c>
      <c r="AI240" s="299">
        <f>+AH240*G240*D240*0.17</f>
        <v>1.1696704629600001</v>
      </c>
      <c r="AK240" s="301">
        <f t="shared" ref="AK240" si="763">+IF(D240=0.667,E240*F240*G240,0)</f>
        <v>10.315464</v>
      </c>
      <c r="AL240" s="301">
        <f t="shared" si="751"/>
        <v>0</v>
      </c>
      <c r="AM240" s="301"/>
      <c r="AN240" s="301">
        <f>+IF(D240=0.333,1.33,0)</f>
        <v>0</v>
      </c>
      <c r="AO240" s="299"/>
      <c r="AP240" s="301"/>
      <c r="AQ240" s="301"/>
      <c r="AT240" s="694">
        <f t="shared" si="618"/>
        <v>10.315464</v>
      </c>
    </row>
    <row r="241" spans="2:46" ht="20.100000000000001" customHeight="1" x14ac:dyDescent="0.3">
      <c r="B241" s="369"/>
      <c r="C241" s="395"/>
      <c r="D241" s="371"/>
      <c r="E241" s="369"/>
      <c r="F241" s="369"/>
      <c r="G241" s="371"/>
      <c r="H241" s="371"/>
      <c r="I241" s="372"/>
      <c r="J241" s="371"/>
      <c r="K241" s="371"/>
      <c r="L241" s="371"/>
      <c r="M241" s="371"/>
      <c r="N241" s="371"/>
      <c r="O241" s="371"/>
      <c r="P241" s="633"/>
      <c r="Q241" s="371"/>
      <c r="R241" s="371"/>
      <c r="S241" s="371"/>
      <c r="T241" s="371"/>
      <c r="U241" s="369"/>
      <c r="V241" s="370"/>
      <c r="W241" s="372"/>
      <c r="X241" s="371"/>
      <c r="Y241" s="372"/>
      <c r="Z241" s="371"/>
      <c r="AA241" s="371"/>
      <c r="AB241" s="371"/>
      <c r="AC241" s="370"/>
      <c r="AD241" s="371"/>
      <c r="AE241" s="371"/>
      <c r="AF241" s="371"/>
      <c r="AG241" s="370"/>
      <c r="AH241" s="376"/>
      <c r="AI241" s="372"/>
      <c r="AK241" s="377"/>
      <c r="AL241" s="377"/>
      <c r="AM241" s="377"/>
      <c r="AN241" s="377"/>
      <c r="AO241" s="372"/>
      <c r="AP241" s="377"/>
      <c r="AQ241" s="377"/>
      <c r="AT241" s="694">
        <f t="shared" si="618"/>
        <v>0</v>
      </c>
    </row>
    <row r="242" spans="2:46" ht="20.100000000000001" customHeight="1" x14ac:dyDescent="0.3">
      <c r="B242" s="92"/>
      <c r="C242" s="97" t="s">
        <v>332</v>
      </c>
      <c r="D242" s="98"/>
      <c r="E242" s="92"/>
      <c r="F242" s="92"/>
      <c r="G242" s="98"/>
      <c r="H242" s="98"/>
      <c r="I242" s="94"/>
      <c r="J242" s="92"/>
      <c r="K242" s="92"/>
      <c r="L242" s="92"/>
      <c r="M242" s="92"/>
      <c r="N242" s="92"/>
      <c r="O242" s="92"/>
      <c r="P242" s="95"/>
      <c r="Q242" s="92"/>
      <c r="R242" s="92"/>
      <c r="S242" s="92"/>
      <c r="T242" s="92"/>
      <c r="U242" s="92"/>
      <c r="V242" s="91"/>
      <c r="W242" s="102"/>
      <c r="X242" s="98"/>
      <c r="Y242" s="102"/>
      <c r="Z242" s="98"/>
      <c r="AA242" s="98"/>
      <c r="AB242" s="98"/>
      <c r="AC242" s="91"/>
      <c r="AD242" s="98"/>
      <c r="AE242" s="98"/>
      <c r="AF242" s="98"/>
      <c r="AG242" s="91"/>
      <c r="AH242" s="305"/>
      <c r="AI242" s="299"/>
      <c r="AK242" s="301">
        <f t="shared" ref="AK242:AK246" si="764">+IF(D242=0.667,E242*F242*G242,0)</f>
        <v>0</v>
      </c>
      <c r="AL242" s="301">
        <f t="shared" ref="AL242:AL246" si="765">+IF(D242=0.333,E242*F242*G242,0)</f>
        <v>0</v>
      </c>
      <c r="AM242" s="301"/>
      <c r="AN242" s="301">
        <f>+IF(D242=0.333,1.33,0)</f>
        <v>0</v>
      </c>
      <c r="AO242" s="299"/>
      <c r="AP242" s="301"/>
      <c r="AQ242" s="301"/>
      <c r="AT242" s="694">
        <f t="shared" si="618"/>
        <v>0</v>
      </c>
    </row>
    <row r="243" spans="2:46" ht="20.100000000000001" customHeight="1" x14ac:dyDescent="0.3">
      <c r="B243" s="92"/>
      <c r="C243" s="95" t="s">
        <v>33</v>
      </c>
      <c r="D243" s="98">
        <v>0.66700000000000004</v>
      </c>
      <c r="E243" s="92">
        <v>1</v>
      </c>
      <c r="F243" s="92">
        <v>1</v>
      </c>
      <c r="G243" s="555">
        <f>+(2.135*3.281)</f>
        <v>7.0049349999999997</v>
      </c>
      <c r="H243" s="98">
        <f>+D243</f>
        <v>0.66700000000000004</v>
      </c>
      <c r="I243" s="94">
        <v>2</v>
      </c>
      <c r="J243" s="99">
        <v>3</v>
      </c>
      <c r="K243" s="100">
        <f>+IF(D243=0.667,E243*F243*G243*H243*J243,0)</f>
        <v>14.016874935000001</v>
      </c>
      <c r="L243" s="100">
        <f>+IF(D243=0.333,E243*F243*G243*J243,0)</f>
        <v>0</v>
      </c>
      <c r="M243" s="99">
        <v>4</v>
      </c>
      <c r="N243" s="100">
        <f>+IF(D243=0.667,E243*F243*G243*H243*M243,0)</f>
        <v>18.689166580000002</v>
      </c>
      <c r="O243" s="100">
        <f>+IF(D243=0.333,E243*F243*G243*M243,0)</f>
        <v>0</v>
      </c>
      <c r="P243" s="27">
        <f>11.833-I243-M243-J243</f>
        <v>2.8330000000000002</v>
      </c>
      <c r="Q243" s="100">
        <f>+IF(D243=0.667,E243*F243*G243*H243*P243,0)</f>
        <v>13.236602230285003</v>
      </c>
      <c r="R243" s="100">
        <f>+IF(D243=0.333,E243*F243*G243*P243,0)</f>
        <v>0</v>
      </c>
      <c r="S243" s="101">
        <f t="shared" ref="S243:T246" si="766">+Q243+N243+K243</f>
        <v>45.942643745285011</v>
      </c>
      <c r="T243" s="101">
        <f t="shared" si="766"/>
        <v>0</v>
      </c>
      <c r="U243" s="92"/>
      <c r="V243" s="91"/>
      <c r="W243" s="102"/>
      <c r="X243" s="98"/>
      <c r="Y243" s="102"/>
      <c r="Z243" s="98"/>
      <c r="AA243" s="98"/>
      <c r="AB243" s="98"/>
      <c r="AC243" s="91"/>
      <c r="AD243" s="98"/>
      <c r="AE243" s="98"/>
      <c r="AF243" s="98"/>
      <c r="AG243" s="91"/>
      <c r="AH243" s="305">
        <v>1</v>
      </c>
      <c r="AI243" s="299">
        <f>+AH243*G243*D243*0.17</f>
        <v>0.79428957965000013</v>
      </c>
      <c r="AK243" s="301">
        <f t="shared" si="764"/>
        <v>7.0049349999999997</v>
      </c>
      <c r="AL243" s="301">
        <f t="shared" si="765"/>
        <v>0</v>
      </c>
      <c r="AM243" s="301"/>
      <c r="AN243" s="301">
        <f>+IF(D243=0.333,1.33,0)</f>
        <v>0</v>
      </c>
      <c r="AO243" s="299"/>
      <c r="AP243" s="301">
        <f>+S243</f>
        <v>45.942643745285011</v>
      </c>
      <c r="AQ243" s="301"/>
      <c r="AT243" s="694">
        <f t="shared" si="618"/>
        <v>7.0049349999999997</v>
      </c>
    </row>
    <row r="244" spans="2:46" ht="20.100000000000001" customHeight="1" x14ac:dyDescent="0.3">
      <c r="B244" s="18"/>
      <c r="C244" s="62" t="s">
        <v>130</v>
      </c>
      <c r="D244" s="98">
        <v>0.66700000000000004</v>
      </c>
      <c r="E244" s="18">
        <v>-1</v>
      </c>
      <c r="F244" s="18">
        <v>1</v>
      </c>
      <c r="G244" s="556">
        <v>3</v>
      </c>
      <c r="H244" s="20">
        <f t="shared" ref="H244" si="767">+D244</f>
        <v>0.66700000000000004</v>
      </c>
      <c r="I244" s="21"/>
      <c r="J244" s="22">
        <v>3</v>
      </c>
      <c r="K244" s="103">
        <f t="shared" ref="K244" si="768">+IF(D244=0.667,E244*F244*G244*H244*J244,0)</f>
        <v>-6.003000000000001</v>
      </c>
      <c r="L244" s="103">
        <f t="shared" ref="L244" si="769">+IF(D244=0.333,E244*F244*G244*J244,0)</f>
        <v>0</v>
      </c>
      <c r="M244" s="81">
        <v>4</v>
      </c>
      <c r="N244" s="103">
        <f t="shared" ref="N244" si="770">+IF(D244=0.667,E244*F244*G244*H244*M244,0)</f>
        <v>-8.0040000000000013</v>
      </c>
      <c r="O244" s="103">
        <f t="shared" ref="O244" si="771">+IF(D244=0.333,E244*F244*G244*M244,0)</f>
        <v>0</v>
      </c>
      <c r="P244" s="27"/>
      <c r="Q244" s="103">
        <f t="shared" ref="Q244" si="772">+IF(D244=0.667,E244*F244*G244*H244*P244,0)</f>
        <v>0</v>
      </c>
      <c r="R244" s="103">
        <f t="shared" ref="R244" si="773">+IF(D244=0.333,E244*F244*G244*P244,0)</f>
        <v>0</v>
      </c>
      <c r="S244" s="104">
        <f t="shared" si="766"/>
        <v>-14.007000000000001</v>
      </c>
      <c r="T244" s="104">
        <f t="shared" si="766"/>
        <v>0</v>
      </c>
      <c r="U244" s="18"/>
      <c r="V244" s="26"/>
      <c r="W244" s="21">
        <f>+G244+D244</f>
        <v>3.6669999999999998</v>
      </c>
      <c r="X244" s="21">
        <v>0.5</v>
      </c>
      <c r="Y244" s="21">
        <f>+IF(D244=0.667,-E244*F244*H244*W244*X244,0)</f>
        <v>1.2229445000000001</v>
      </c>
      <c r="Z244" s="21">
        <f>+IF(D244=0.333,-E244*F244*H244*W244*X244,0)</f>
        <v>0</v>
      </c>
      <c r="AA244" s="21">
        <f>+F244*G244*H244</f>
        <v>2.0010000000000003</v>
      </c>
      <c r="AB244" s="21">
        <f t="shared" ref="AB244" si="774">2*F244*W244*X244</f>
        <v>3.6669999999999998</v>
      </c>
      <c r="AC244" s="27"/>
      <c r="AD244" s="21"/>
      <c r="AE244" s="21"/>
      <c r="AF244" s="21"/>
      <c r="AG244" s="27"/>
      <c r="AH244" s="306"/>
      <c r="AI244" s="299"/>
      <c r="AK244" s="301">
        <f t="shared" si="764"/>
        <v>-3</v>
      </c>
      <c r="AL244" s="301">
        <f t="shared" si="765"/>
        <v>0</v>
      </c>
      <c r="AM244" s="301"/>
      <c r="AN244" s="301"/>
      <c r="AO244" s="299"/>
      <c r="AP244" s="301">
        <f t="shared" ref="AP244:AP246" si="775">+S244</f>
        <v>-14.007000000000001</v>
      </c>
      <c r="AQ244" s="301"/>
      <c r="AT244" s="694">
        <f t="shared" si="618"/>
        <v>-3</v>
      </c>
    </row>
    <row r="245" spans="2:46" ht="20.100000000000001" customHeight="1" x14ac:dyDescent="0.3">
      <c r="B245" s="92"/>
      <c r="C245" s="95" t="s">
        <v>38</v>
      </c>
      <c r="D245" s="98">
        <v>0.66700000000000004</v>
      </c>
      <c r="E245" s="92">
        <v>1</v>
      </c>
      <c r="F245" s="92">
        <v>1</v>
      </c>
      <c r="G245" s="555">
        <f>(1.35)*3.281</f>
        <v>4.4293500000000003</v>
      </c>
      <c r="H245" s="98">
        <f>+D245</f>
        <v>0.66700000000000004</v>
      </c>
      <c r="I245" s="94">
        <v>2</v>
      </c>
      <c r="J245" s="99">
        <v>3</v>
      </c>
      <c r="K245" s="100">
        <f>+IF(D245=0.667,E245*F245*G245*H245*J245,0)</f>
        <v>8.8631293500000012</v>
      </c>
      <c r="L245" s="100">
        <f>+IF(D245=0.333,E245*F245*G245*J245,0)</f>
        <v>0</v>
      </c>
      <c r="M245" s="99">
        <v>4</v>
      </c>
      <c r="N245" s="100">
        <f>+IF(D245=0.667,E245*F245*G245*H245*M245,0)</f>
        <v>11.817505800000001</v>
      </c>
      <c r="O245" s="100">
        <f>+IF(D245=0.333,E245*F245*G245*M245,0)</f>
        <v>0</v>
      </c>
      <c r="P245" s="27">
        <f t="shared" ref="P245:P246" si="776">11.833-I245-M245-J245</f>
        <v>2.8330000000000002</v>
      </c>
      <c r="Q245" s="100">
        <f>+IF(D245=0.667,E245*F245*G245*H245*P245,0)</f>
        <v>8.3697484828500013</v>
      </c>
      <c r="R245" s="100">
        <f>+IF(D245=0.333,E245*F245*G245*P245,0)</f>
        <v>0</v>
      </c>
      <c r="S245" s="101">
        <f t="shared" si="766"/>
        <v>29.050383632850004</v>
      </c>
      <c r="T245" s="101">
        <f t="shared" si="766"/>
        <v>0</v>
      </c>
      <c r="U245" s="92"/>
      <c r="V245" s="91"/>
      <c r="W245" s="102"/>
      <c r="X245" s="98"/>
      <c r="Y245" s="102"/>
      <c r="Z245" s="98"/>
      <c r="AA245" s="98"/>
      <c r="AB245" s="98"/>
      <c r="AC245" s="91"/>
      <c r="AD245" s="98"/>
      <c r="AE245" s="98"/>
      <c r="AF245" s="98"/>
      <c r="AG245" s="91"/>
      <c r="AH245" s="304">
        <v>1</v>
      </c>
      <c r="AI245" s="299">
        <f>+AH245*G245*D245*0.17</f>
        <v>0.50224399650000007</v>
      </c>
      <c r="AK245" s="301">
        <f t="shared" si="764"/>
        <v>4.4293500000000003</v>
      </c>
      <c r="AL245" s="301">
        <f t="shared" si="765"/>
        <v>0</v>
      </c>
      <c r="AM245" s="301"/>
      <c r="AN245" s="301"/>
      <c r="AO245" s="299"/>
      <c r="AP245" s="301">
        <f t="shared" si="775"/>
        <v>29.050383632850004</v>
      </c>
      <c r="AQ245" s="301"/>
      <c r="AT245" s="694">
        <f t="shared" si="618"/>
        <v>4.4293500000000003</v>
      </c>
    </row>
    <row r="246" spans="2:46" ht="20.100000000000001" customHeight="1" x14ac:dyDescent="0.3">
      <c r="B246" s="92"/>
      <c r="C246" s="95" t="s">
        <v>32</v>
      </c>
      <c r="D246" s="98">
        <v>0.66700000000000004</v>
      </c>
      <c r="E246" s="92">
        <v>1</v>
      </c>
      <c r="F246" s="92">
        <v>1</v>
      </c>
      <c r="G246" s="555">
        <f>(2.135)*3.281</f>
        <v>7.0049349999999997</v>
      </c>
      <c r="H246" s="98">
        <f>+D246</f>
        <v>0.66700000000000004</v>
      </c>
      <c r="I246" s="94">
        <v>2</v>
      </c>
      <c r="J246" s="99">
        <v>3</v>
      </c>
      <c r="K246" s="100">
        <f>+IF(D246=0.667,E246*F246*G246*H246*J246,0)</f>
        <v>14.016874935000001</v>
      </c>
      <c r="L246" s="100">
        <f>+IF(D246=0.333,E246*F246*G246*J246,0)</f>
        <v>0</v>
      </c>
      <c r="M246" s="99">
        <v>4</v>
      </c>
      <c r="N246" s="100">
        <f>+IF(D246=0.667,E246*F246*G246*H246*M246,0)</f>
        <v>18.689166580000002</v>
      </c>
      <c r="O246" s="100">
        <f>+IF(D246=0.333,E246*F246*G246*M246,0)</f>
        <v>0</v>
      </c>
      <c r="P246" s="27">
        <f t="shared" si="776"/>
        <v>2.8330000000000002</v>
      </c>
      <c r="Q246" s="100">
        <f>+IF(D246=0.667,E246*F246*G246*H246*P246,0)</f>
        <v>13.236602230285003</v>
      </c>
      <c r="R246" s="100">
        <f>+IF(D246=0.333,E246*F246*G246*P246,0)</f>
        <v>0</v>
      </c>
      <c r="S246" s="101">
        <f t="shared" si="766"/>
        <v>45.942643745285011</v>
      </c>
      <c r="T246" s="101">
        <f t="shared" si="766"/>
        <v>0</v>
      </c>
      <c r="U246" s="92"/>
      <c r="V246" s="91"/>
      <c r="W246" s="102"/>
      <c r="X246" s="98"/>
      <c r="Y246" s="102"/>
      <c r="Z246" s="98"/>
      <c r="AA246" s="98"/>
      <c r="AB246" s="98"/>
      <c r="AC246" s="91"/>
      <c r="AD246" s="98"/>
      <c r="AE246" s="98"/>
      <c r="AF246" s="98"/>
      <c r="AG246" s="91"/>
      <c r="AH246" s="304">
        <v>1</v>
      </c>
      <c r="AI246" s="299">
        <f>+AH246*G246*D246*0.17</f>
        <v>0.79428957965000013</v>
      </c>
      <c r="AK246" s="301">
        <f t="shared" si="764"/>
        <v>7.0049349999999997</v>
      </c>
      <c r="AL246" s="301">
        <f t="shared" si="765"/>
        <v>0</v>
      </c>
      <c r="AM246" s="301"/>
      <c r="AN246" s="301"/>
      <c r="AO246" s="299"/>
      <c r="AP246" s="301">
        <f t="shared" si="775"/>
        <v>45.942643745285011</v>
      </c>
      <c r="AQ246" s="301"/>
      <c r="AT246" s="694">
        <f t="shared" si="618"/>
        <v>7.0049349999999997</v>
      </c>
    </row>
    <row r="247" spans="2:46" ht="20.100000000000001" customHeight="1" x14ac:dyDescent="0.3">
      <c r="B247" s="369"/>
      <c r="C247" s="395"/>
      <c r="D247" s="371"/>
      <c r="E247" s="369"/>
      <c r="F247" s="369"/>
      <c r="G247" s="371"/>
      <c r="H247" s="371"/>
      <c r="I247" s="372"/>
      <c r="J247" s="371"/>
      <c r="K247" s="371"/>
      <c r="L247" s="371"/>
      <c r="M247" s="371"/>
      <c r="N247" s="371"/>
      <c r="O247" s="371"/>
      <c r="P247" s="633"/>
      <c r="Q247" s="371"/>
      <c r="R247" s="371"/>
      <c r="S247" s="371"/>
      <c r="T247" s="371"/>
      <c r="U247" s="369"/>
      <c r="V247" s="370"/>
      <c r="W247" s="372"/>
      <c r="X247" s="371"/>
      <c r="Y247" s="372"/>
      <c r="Z247" s="371"/>
      <c r="AA247" s="371"/>
      <c r="AB247" s="371"/>
      <c r="AC247" s="370"/>
      <c r="AD247" s="371"/>
      <c r="AE247" s="371"/>
      <c r="AF247" s="371"/>
      <c r="AG247" s="370"/>
      <c r="AH247" s="376"/>
      <c r="AI247" s="372"/>
      <c r="AK247" s="377"/>
      <c r="AL247" s="377"/>
      <c r="AM247" s="377"/>
      <c r="AN247" s="377"/>
      <c r="AO247" s="372"/>
      <c r="AP247" s="377"/>
      <c r="AQ247" s="377"/>
      <c r="AT247" s="694">
        <f t="shared" si="618"/>
        <v>0</v>
      </c>
    </row>
    <row r="248" spans="2:46" ht="20.100000000000001" customHeight="1" x14ac:dyDescent="0.3">
      <c r="B248" s="92"/>
      <c r="C248" s="97" t="s">
        <v>332</v>
      </c>
      <c r="D248" s="98"/>
      <c r="E248" s="92"/>
      <c r="F248" s="92"/>
      <c r="G248" s="98"/>
      <c r="H248" s="98"/>
      <c r="I248" s="94"/>
      <c r="J248" s="92"/>
      <c r="K248" s="92"/>
      <c r="L248" s="92"/>
      <c r="M248" s="92"/>
      <c r="N248" s="92"/>
      <c r="O248" s="92"/>
      <c r="P248" s="95"/>
      <c r="Q248" s="92"/>
      <c r="R248" s="92"/>
      <c r="S248" s="92"/>
      <c r="T248" s="92"/>
      <c r="U248" s="92"/>
      <c r="V248" s="91"/>
      <c r="W248" s="102"/>
      <c r="X248" s="98"/>
      <c r="Y248" s="102"/>
      <c r="Z248" s="98"/>
      <c r="AA248" s="98"/>
      <c r="AB248" s="98"/>
      <c r="AC248" s="91"/>
      <c r="AD248" s="98"/>
      <c r="AE248" s="98"/>
      <c r="AF248" s="98"/>
      <c r="AG248" s="91"/>
      <c r="AH248" s="305"/>
      <c r="AI248" s="299"/>
      <c r="AK248" s="301">
        <f t="shared" ref="AK248:AK252" si="777">+IF(D248=0.667,E248*F248*G248,0)</f>
        <v>0</v>
      </c>
      <c r="AL248" s="301">
        <f t="shared" ref="AL248:AL252" si="778">+IF(D248=0.333,E248*F248*G248,0)</f>
        <v>0</v>
      </c>
      <c r="AM248" s="301"/>
      <c r="AN248" s="301">
        <f>+IF(D248=0.333,1.33,0)</f>
        <v>0</v>
      </c>
      <c r="AO248" s="299"/>
      <c r="AP248" s="301">
        <f t="shared" ref="AP248" si="779">+S248</f>
        <v>0</v>
      </c>
      <c r="AQ248" s="301"/>
      <c r="AT248" s="694">
        <f t="shared" si="618"/>
        <v>0</v>
      </c>
    </row>
    <row r="249" spans="2:46" ht="20.100000000000001" customHeight="1" x14ac:dyDescent="0.3">
      <c r="B249" s="92"/>
      <c r="C249" s="95" t="s">
        <v>33</v>
      </c>
      <c r="D249" s="98">
        <v>0.66700000000000004</v>
      </c>
      <c r="E249" s="92">
        <v>1</v>
      </c>
      <c r="F249" s="92">
        <v>1</v>
      </c>
      <c r="G249" s="555">
        <f>+(2.135*3.281)</f>
        <v>7.0049349999999997</v>
      </c>
      <c r="H249" s="98">
        <f>+D249</f>
        <v>0.66700000000000004</v>
      </c>
      <c r="I249" s="94">
        <v>2</v>
      </c>
      <c r="J249" s="99">
        <v>3</v>
      </c>
      <c r="K249" s="100">
        <f>+IF(D249=0.667,E249*F249*G249*H249*J249,0)</f>
        <v>14.016874935000001</v>
      </c>
      <c r="L249" s="100">
        <f>+IF(D249=0.333,E249*F249*G249*J249,0)</f>
        <v>0</v>
      </c>
      <c r="M249" s="99">
        <v>4</v>
      </c>
      <c r="N249" s="100">
        <f>+IF(D249=0.667,E249*F249*G249*H249*M249,0)</f>
        <v>18.689166580000002</v>
      </c>
      <c r="O249" s="100">
        <f>+IF(D249=0.333,E249*F249*G249*M249,0)</f>
        <v>0</v>
      </c>
      <c r="P249" s="27">
        <f>11.833-I249-M249-J249</f>
        <v>2.8330000000000002</v>
      </c>
      <c r="Q249" s="100">
        <f>+IF(D249=0.667,E249*F249*G249*H249*P249,0)</f>
        <v>13.236602230285003</v>
      </c>
      <c r="R249" s="100">
        <f>+IF(D249=0.333,E249*F249*G249*P249,0)</f>
        <v>0</v>
      </c>
      <c r="S249" s="101">
        <f t="shared" ref="S249:T252" si="780">+Q249+N249+K249</f>
        <v>45.942643745285011</v>
      </c>
      <c r="T249" s="101">
        <f t="shared" si="780"/>
        <v>0</v>
      </c>
      <c r="U249" s="92"/>
      <c r="V249" s="91"/>
      <c r="W249" s="102"/>
      <c r="X249" s="98"/>
      <c r="Y249" s="102"/>
      <c r="Z249" s="98"/>
      <c r="AA249" s="98"/>
      <c r="AB249" s="98"/>
      <c r="AC249" s="91"/>
      <c r="AD249" s="98"/>
      <c r="AE249" s="98"/>
      <c r="AF249" s="98"/>
      <c r="AG249" s="91"/>
      <c r="AH249" s="305">
        <v>1</v>
      </c>
      <c r="AI249" s="299">
        <f>+AH249*G249*D249*0.17</f>
        <v>0.79428957965000013</v>
      </c>
      <c r="AK249" s="301">
        <f t="shared" si="777"/>
        <v>7.0049349999999997</v>
      </c>
      <c r="AL249" s="301">
        <f t="shared" si="778"/>
        <v>0</v>
      </c>
      <c r="AM249" s="301"/>
      <c r="AN249" s="301">
        <f>+IF(D249=0.333,1.33,0)</f>
        <v>0</v>
      </c>
      <c r="AO249" s="299"/>
      <c r="AP249" s="301">
        <f>+S249</f>
        <v>45.942643745285011</v>
      </c>
      <c r="AQ249" s="301"/>
      <c r="AT249" s="694">
        <f t="shared" si="618"/>
        <v>7.0049349999999997</v>
      </c>
    </row>
    <row r="250" spans="2:46" ht="20.100000000000001" customHeight="1" x14ac:dyDescent="0.3">
      <c r="B250" s="18"/>
      <c r="C250" s="62" t="s">
        <v>130</v>
      </c>
      <c r="D250" s="98">
        <v>0.66700000000000004</v>
      </c>
      <c r="E250" s="18">
        <v>-1</v>
      </c>
      <c r="F250" s="18">
        <v>1</v>
      </c>
      <c r="G250" s="556">
        <v>3</v>
      </c>
      <c r="H250" s="20">
        <f t="shared" ref="H250" si="781">+D250</f>
        <v>0.66700000000000004</v>
      </c>
      <c r="I250" s="21"/>
      <c r="J250" s="22">
        <v>3</v>
      </c>
      <c r="K250" s="103">
        <f t="shared" ref="K250" si="782">+IF(D250=0.667,E250*F250*G250*H250*J250,0)</f>
        <v>-6.003000000000001</v>
      </c>
      <c r="L250" s="103">
        <f t="shared" ref="L250" si="783">+IF(D250=0.333,E250*F250*G250*J250,0)</f>
        <v>0</v>
      </c>
      <c r="M250" s="81">
        <v>4</v>
      </c>
      <c r="N250" s="103">
        <f t="shared" ref="N250" si="784">+IF(D250=0.667,E250*F250*G250*H250*M250,0)</f>
        <v>-8.0040000000000013</v>
      </c>
      <c r="O250" s="103">
        <f t="shared" ref="O250" si="785">+IF(D250=0.333,E250*F250*G250*M250,0)</f>
        <v>0</v>
      </c>
      <c r="P250" s="27"/>
      <c r="Q250" s="103">
        <f t="shared" ref="Q250" si="786">+IF(D250=0.667,E250*F250*G250*H250*P250,0)</f>
        <v>0</v>
      </c>
      <c r="R250" s="103">
        <f t="shared" ref="R250" si="787">+IF(D250=0.333,E250*F250*G250*P250,0)</f>
        <v>0</v>
      </c>
      <c r="S250" s="104">
        <f t="shared" si="780"/>
        <v>-14.007000000000001</v>
      </c>
      <c r="T250" s="104">
        <f t="shared" si="780"/>
        <v>0</v>
      </c>
      <c r="U250" s="18"/>
      <c r="V250" s="26"/>
      <c r="W250" s="21">
        <f>+G250+D250</f>
        <v>3.6669999999999998</v>
      </c>
      <c r="X250" s="21">
        <v>0.5</v>
      </c>
      <c r="Y250" s="21">
        <f>+IF(D250=0.667,-E250*F250*H250*W250*X250,0)</f>
        <v>1.2229445000000001</v>
      </c>
      <c r="Z250" s="21">
        <f>+IF(D250=0.333,-E250*F250*H250*W250*X250,0)</f>
        <v>0</v>
      </c>
      <c r="AA250" s="21">
        <f>+F250*G250*H250</f>
        <v>2.0010000000000003</v>
      </c>
      <c r="AB250" s="21">
        <f t="shared" ref="AB250" si="788">2*F250*W250*X250</f>
        <v>3.6669999999999998</v>
      </c>
      <c r="AC250" s="27"/>
      <c r="AD250" s="21"/>
      <c r="AE250" s="21"/>
      <c r="AF250" s="21"/>
      <c r="AG250" s="27"/>
      <c r="AH250" s="306"/>
      <c r="AI250" s="299"/>
      <c r="AK250" s="301">
        <f t="shared" si="777"/>
        <v>-3</v>
      </c>
      <c r="AL250" s="301">
        <f t="shared" si="778"/>
        <v>0</v>
      </c>
      <c r="AM250" s="301"/>
      <c r="AN250" s="301"/>
      <c r="AO250" s="299"/>
      <c r="AP250" s="301">
        <f t="shared" ref="AP250:AP252" si="789">+S250</f>
        <v>-14.007000000000001</v>
      </c>
      <c r="AQ250" s="301"/>
      <c r="AT250" s="694">
        <f t="shared" si="618"/>
        <v>-3</v>
      </c>
    </row>
    <row r="251" spans="2:46" ht="20.100000000000001" customHeight="1" x14ac:dyDescent="0.3">
      <c r="B251" s="92"/>
      <c r="C251" s="95" t="s">
        <v>38</v>
      </c>
      <c r="D251" s="98">
        <v>0.66700000000000004</v>
      </c>
      <c r="E251" s="92">
        <v>1</v>
      </c>
      <c r="F251" s="92">
        <v>1</v>
      </c>
      <c r="G251" s="555">
        <f>(1.8)*3.281</f>
        <v>5.9058000000000002</v>
      </c>
      <c r="H251" s="98">
        <f>+D251</f>
        <v>0.66700000000000004</v>
      </c>
      <c r="I251" s="94">
        <v>2</v>
      </c>
      <c r="J251" s="99">
        <v>3</v>
      </c>
      <c r="K251" s="100">
        <f>+IF(D251=0.667,E251*F251*G251*H251*J251,0)</f>
        <v>11.817505800000001</v>
      </c>
      <c r="L251" s="100">
        <f>+IF(D251=0.333,E251*F251*G251*J251,0)</f>
        <v>0</v>
      </c>
      <c r="M251" s="99">
        <v>4</v>
      </c>
      <c r="N251" s="100">
        <f>+IF(D251=0.667,E251*F251*G251*H251*M251,0)</f>
        <v>15.756674400000001</v>
      </c>
      <c r="O251" s="100">
        <f>+IF(D251=0.333,E251*F251*G251*M251,0)</f>
        <v>0</v>
      </c>
      <c r="P251" s="27">
        <f t="shared" ref="P251:P252" si="790">11.833-I251-M251-J251</f>
        <v>2.8330000000000002</v>
      </c>
      <c r="Q251" s="100">
        <f>+IF(D251=0.667,E251*F251*G251*H251*P251,0)</f>
        <v>11.159664643800001</v>
      </c>
      <c r="R251" s="100">
        <f>+IF(D251=0.333,E251*F251*G251*P251,0)</f>
        <v>0</v>
      </c>
      <c r="S251" s="101">
        <f t="shared" si="780"/>
        <v>38.7338448438</v>
      </c>
      <c r="T251" s="101">
        <f t="shared" si="780"/>
        <v>0</v>
      </c>
      <c r="U251" s="92"/>
      <c r="V251" s="91"/>
      <c r="W251" s="102"/>
      <c r="X251" s="98"/>
      <c r="Y251" s="102"/>
      <c r="Z251" s="98"/>
      <c r="AA251" s="98"/>
      <c r="AB251" s="98"/>
      <c r="AC251" s="91"/>
      <c r="AD251" s="98"/>
      <c r="AE251" s="98"/>
      <c r="AF251" s="98"/>
      <c r="AG251" s="91"/>
      <c r="AH251" s="304">
        <v>1</v>
      </c>
      <c r="AI251" s="299">
        <f>+AH251*G251*D251*0.17</f>
        <v>0.66965866200000013</v>
      </c>
      <c r="AK251" s="301">
        <f t="shared" si="777"/>
        <v>5.9058000000000002</v>
      </c>
      <c r="AL251" s="301">
        <f t="shared" si="778"/>
        <v>0</v>
      </c>
      <c r="AM251" s="301"/>
      <c r="AN251" s="301"/>
      <c r="AO251" s="299"/>
      <c r="AP251" s="301">
        <f t="shared" si="789"/>
        <v>38.7338448438</v>
      </c>
      <c r="AQ251" s="301"/>
      <c r="AT251" s="694">
        <f t="shared" si="618"/>
        <v>5.9058000000000002</v>
      </c>
    </row>
    <row r="252" spans="2:46" ht="20.100000000000001" customHeight="1" x14ac:dyDescent="0.3">
      <c r="B252" s="92"/>
      <c r="C252" s="95" t="s">
        <v>32</v>
      </c>
      <c r="D252" s="98">
        <v>0.66700000000000004</v>
      </c>
      <c r="E252" s="92">
        <v>1</v>
      </c>
      <c r="F252" s="92">
        <v>1</v>
      </c>
      <c r="G252" s="555">
        <f>(2.135)*3.281</f>
        <v>7.0049349999999997</v>
      </c>
      <c r="H252" s="98">
        <f>+D252</f>
        <v>0.66700000000000004</v>
      </c>
      <c r="I252" s="94">
        <v>2</v>
      </c>
      <c r="J252" s="99">
        <v>3</v>
      </c>
      <c r="K252" s="100">
        <f>+IF(D252=0.667,E252*F252*G252*H252*J252,0)</f>
        <v>14.016874935000001</v>
      </c>
      <c r="L252" s="100">
        <f>+IF(D252=0.333,E252*F252*G252*J252,0)</f>
        <v>0</v>
      </c>
      <c r="M252" s="99">
        <v>4</v>
      </c>
      <c r="N252" s="100">
        <f>+IF(D252=0.667,E252*F252*G252*H252*M252,0)</f>
        <v>18.689166580000002</v>
      </c>
      <c r="O252" s="100">
        <f>+IF(D252=0.333,E252*F252*G252*M252,0)</f>
        <v>0</v>
      </c>
      <c r="P252" s="27">
        <f t="shared" si="790"/>
        <v>2.8330000000000002</v>
      </c>
      <c r="Q252" s="100">
        <f>+IF(D252=0.667,E252*F252*G252*H252*P252,0)</f>
        <v>13.236602230285003</v>
      </c>
      <c r="R252" s="100">
        <f>+IF(D252=0.333,E252*F252*G252*P252,0)</f>
        <v>0</v>
      </c>
      <c r="S252" s="101">
        <f t="shared" si="780"/>
        <v>45.942643745285011</v>
      </c>
      <c r="T252" s="101">
        <f t="shared" si="780"/>
        <v>0</v>
      </c>
      <c r="U252" s="92"/>
      <c r="V252" s="91"/>
      <c r="W252" s="102"/>
      <c r="X252" s="98"/>
      <c r="Y252" s="102"/>
      <c r="Z252" s="98"/>
      <c r="AA252" s="98"/>
      <c r="AB252" s="98"/>
      <c r="AC252" s="91"/>
      <c r="AD252" s="98"/>
      <c r="AE252" s="98"/>
      <c r="AF252" s="98"/>
      <c r="AG252" s="91"/>
      <c r="AH252" s="304">
        <v>1</v>
      </c>
      <c r="AI252" s="299">
        <f>+AH252*G252*D252*0.17</f>
        <v>0.79428957965000013</v>
      </c>
      <c r="AK252" s="301">
        <f t="shared" si="777"/>
        <v>7.0049349999999997</v>
      </c>
      <c r="AL252" s="301">
        <f t="shared" si="778"/>
        <v>0</v>
      </c>
      <c r="AM252" s="301"/>
      <c r="AN252" s="301"/>
      <c r="AO252" s="299"/>
      <c r="AP252" s="301">
        <f t="shared" si="789"/>
        <v>45.942643745285011</v>
      </c>
      <c r="AQ252" s="301"/>
      <c r="AT252" s="694">
        <f t="shared" si="618"/>
        <v>7.0049349999999997</v>
      </c>
    </row>
    <row r="253" spans="2:46" ht="20.100000000000001" customHeight="1" x14ac:dyDescent="0.3">
      <c r="B253" s="369"/>
      <c r="C253" s="395"/>
      <c r="D253" s="371"/>
      <c r="E253" s="369"/>
      <c r="F253" s="369"/>
      <c r="G253" s="371"/>
      <c r="H253" s="371"/>
      <c r="I253" s="372"/>
      <c r="J253" s="371"/>
      <c r="K253" s="371"/>
      <c r="L253" s="371"/>
      <c r="M253" s="371"/>
      <c r="N253" s="371"/>
      <c r="O253" s="371"/>
      <c r="P253" s="633"/>
      <c r="Q253" s="371"/>
      <c r="R253" s="371"/>
      <c r="S253" s="371"/>
      <c r="T253" s="371"/>
      <c r="U253" s="369"/>
      <c r="V253" s="370"/>
      <c r="W253" s="372"/>
      <c r="X253" s="371"/>
      <c r="Y253" s="372"/>
      <c r="Z253" s="371"/>
      <c r="AA253" s="371"/>
      <c r="AB253" s="371"/>
      <c r="AC253" s="370"/>
      <c r="AD253" s="371"/>
      <c r="AE253" s="371"/>
      <c r="AF253" s="371"/>
      <c r="AG253" s="370"/>
      <c r="AH253" s="376"/>
      <c r="AI253" s="372"/>
      <c r="AK253" s="377"/>
      <c r="AL253" s="377"/>
      <c r="AM253" s="377"/>
      <c r="AN253" s="377"/>
      <c r="AO253" s="372"/>
      <c r="AP253" s="377"/>
      <c r="AQ253" s="377"/>
      <c r="AT253" s="694">
        <f t="shared" si="618"/>
        <v>0</v>
      </c>
    </row>
    <row r="254" spans="2:46" ht="20.100000000000001" customHeight="1" x14ac:dyDescent="0.3">
      <c r="B254" s="369"/>
      <c r="C254" s="97" t="s">
        <v>388</v>
      </c>
      <c r="D254" s="371"/>
      <c r="E254" s="369"/>
      <c r="F254" s="369"/>
      <c r="G254" s="371"/>
      <c r="H254" s="371"/>
      <c r="I254" s="372"/>
      <c r="J254" s="371"/>
      <c r="K254" s="371"/>
      <c r="L254" s="371"/>
      <c r="M254" s="371"/>
      <c r="N254" s="371"/>
      <c r="O254" s="371"/>
      <c r="P254" s="633"/>
      <c r="Q254" s="371"/>
      <c r="R254" s="371"/>
      <c r="S254" s="371"/>
      <c r="T254" s="371"/>
      <c r="U254" s="369"/>
      <c r="V254" s="370"/>
      <c r="W254" s="372"/>
      <c r="X254" s="371"/>
      <c r="Y254" s="372"/>
      <c r="Z254" s="371"/>
      <c r="AA254" s="371"/>
      <c r="AB254" s="371"/>
      <c r="AC254" s="370"/>
      <c r="AD254" s="371"/>
      <c r="AE254" s="371"/>
      <c r="AF254" s="371"/>
      <c r="AG254" s="370"/>
      <c r="AH254" s="376"/>
      <c r="AI254" s="372"/>
      <c r="AK254" s="377"/>
      <c r="AL254" s="377"/>
      <c r="AM254" s="377"/>
      <c r="AN254" s="377"/>
      <c r="AO254" s="372"/>
      <c r="AP254" s="377"/>
      <c r="AQ254" s="377"/>
      <c r="AT254" s="694">
        <f t="shared" si="618"/>
        <v>0</v>
      </c>
    </row>
    <row r="255" spans="2:46" ht="20.100000000000001" customHeight="1" x14ac:dyDescent="0.3">
      <c r="B255" s="92"/>
      <c r="C255" s="95" t="s">
        <v>32</v>
      </c>
      <c r="D255" s="98">
        <v>0.66700000000000004</v>
      </c>
      <c r="E255" s="92">
        <v>1</v>
      </c>
      <c r="F255" s="92">
        <v>1</v>
      </c>
      <c r="G255" s="555">
        <f>(4.988+7.49+2.98)*3.281</f>
        <v>50.717698000000006</v>
      </c>
      <c r="H255" s="98">
        <f>+D255</f>
        <v>0.66700000000000004</v>
      </c>
      <c r="I255" s="94">
        <v>2</v>
      </c>
      <c r="J255" s="99">
        <v>3</v>
      </c>
      <c r="K255" s="100">
        <f>+IF(D255=0.667,E255*F255*G255*H255*J255,0)</f>
        <v>101.48611369800003</v>
      </c>
      <c r="L255" s="100">
        <f>+IF(D255=0.333,E255*F255*G255*J255,0)</f>
        <v>0</v>
      </c>
      <c r="M255" s="99">
        <v>4</v>
      </c>
      <c r="N255" s="100">
        <f>+IF(D255=0.667,E255*F255*G255*H255*M255,0)</f>
        <v>135.31481826400002</v>
      </c>
      <c r="O255" s="100">
        <f>+IF(D255=0.333,E255*F255*G255*M255,0)</f>
        <v>0</v>
      </c>
      <c r="P255" s="27">
        <f>11.833-I255-M255-J255</f>
        <v>2.8330000000000002</v>
      </c>
      <c r="Q255" s="100">
        <f>+IF(D255=0.667,E255*F255*G255*H255*P255,0)</f>
        <v>95.836720035478024</v>
      </c>
      <c r="R255" s="100">
        <f>+IF(D255=0.333,E255*F255*G255*P255,0)</f>
        <v>0</v>
      </c>
      <c r="S255" s="101">
        <f t="shared" ref="S255:T260" si="791">+Q255+N255+K255</f>
        <v>332.63765199747809</v>
      </c>
      <c r="T255" s="101">
        <f t="shared" si="791"/>
        <v>0</v>
      </c>
      <c r="U255" s="92"/>
      <c r="V255" s="91"/>
      <c r="W255" s="102"/>
      <c r="X255" s="98"/>
      <c r="Y255" s="102"/>
      <c r="Z255" s="98"/>
      <c r="AA255" s="98"/>
      <c r="AB255" s="98"/>
      <c r="AC255" s="91"/>
      <c r="AD255" s="98"/>
      <c r="AE255" s="98"/>
      <c r="AF255" s="98"/>
      <c r="AG255" s="91"/>
      <c r="AH255" s="305">
        <v>1</v>
      </c>
      <c r="AI255" s="299">
        <f>+AH255*G255*D255*0.17</f>
        <v>5.7508797762200015</v>
      </c>
      <c r="AK255" s="301">
        <f t="shared" ref="AK255" si="792">+IF(D255=0.667,E255*F255*G255,0)</f>
        <v>50.717698000000006</v>
      </c>
      <c r="AL255" s="301">
        <f t="shared" ref="AL255:AL260" si="793">+IF(D255=0.333,E255*F255*G255,0)</f>
        <v>0</v>
      </c>
      <c r="AM255" s="301"/>
      <c r="AN255" s="301">
        <f>+IF(D255=0.333,1.33,0)</f>
        <v>0</v>
      </c>
      <c r="AO255" s="299"/>
      <c r="AP255" s="301"/>
      <c r="AQ255" s="301"/>
      <c r="AT255" s="694">
        <f t="shared" si="618"/>
        <v>50.717698000000006</v>
      </c>
    </row>
    <row r="256" spans="2:46" ht="20.100000000000001" customHeight="1" x14ac:dyDescent="0.3">
      <c r="B256" s="92"/>
      <c r="C256" s="95" t="s">
        <v>347</v>
      </c>
      <c r="D256" s="98">
        <v>0.66700000000000004</v>
      </c>
      <c r="E256" s="92">
        <v>-1</v>
      </c>
      <c r="F256" s="92">
        <v>4</v>
      </c>
      <c r="G256" s="555">
        <v>6</v>
      </c>
      <c r="H256" s="98">
        <f t="shared" ref="H256" si="794">+D256</f>
        <v>0.66700000000000004</v>
      </c>
      <c r="I256" s="94"/>
      <c r="J256" s="99"/>
      <c r="K256" s="100">
        <f t="shared" ref="K256" si="795">+IF(D256=0.667,E256*F256*G256*H256*J256,0)</f>
        <v>0</v>
      </c>
      <c r="L256" s="100">
        <f t="shared" ref="L256" si="796">+IF(D256=0.333,E256*F256*G256*J256,0)</f>
        <v>0</v>
      </c>
      <c r="M256" s="99">
        <v>4</v>
      </c>
      <c r="N256" s="100">
        <f t="shared" ref="N256" si="797">+IF(D256=0.667,E256*F256*G256*H256*M256,0)</f>
        <v>-64.032000000000011</v>
      </c>
      <c r="O256" s="100">
        <f t="shared" ref="O256" si="798">+IF(D256=0.333,E256*F256*G256*M256,0)</f>
        <v>0</v>
      </c>
      <c r="P256" s="27">
        <v>0</v>
      </c>
      <c r="Q256" s="100">
        <f t="shared" ref="Q256" si="799">+IF(D256=0.667,E256*F256*G256*H256*P256,0)</f>
        <v>0</v>
      </c>
      <c r="R256" s="100">
        <f t="shared" ref="R256" si="800">+IF(D256=0.333,E256*F256*G256*P256,0)</f>
        <v>0</v>
      </c>
      <c r="S256" s="101">
        <f t="shared" si="791"/>
        <v>-64.032000000000011</v>
      </c>
      <c r="T256" s="101">
        <f t="shared" si="791"/>
        <v>0</v>
      </c>
      <c r="U256" s="92"/>
      <c r="V256" s="91"/>
      <c r="W256" s="102">
        <f>+G256+D256</f>
        <v>6.6669999999999998</v>
      </c>
      <c r="X256" s="98">
        <v>0.5</v>
      </c>
      <c r="Y256" s="102">
        <f>+IF(D256=0.667,-E256*F256*H256*W256*X256,0)</f>
        <v>8.8937780000000011</v>
      </c>
      <c r="Z256" s="98">
        <f>+IF(D256=0.333,-E256*F256*H256*W256*X256,0)</f>
        <v>0</v>
      </c>
      <c r="AA256" s="98">
        <f>+F256*G256*H256</f>
        <v>16.008000000000003</v>
      </c>
      <c r="AB256" s="98">
        <f t="shared" ref="AB256" si="801">2*F256*W256*X256</f>
        <v>26.667999999999999</v>
      </c>
      <c r="AC256" s="91"/>
      <c r="AD256" s="98">
        <v>0.16700000000000001</v>
      </c>
      <c r="AE256" s="98">
        <f t="shared" ref="AE256" si="802">+IF(D256=0.667,AD256*W256*H256*F256,0)</f>
        <v>2.9705218520000001</v>
      </c>
      <c r="AF256" s="98">
        <f t="shared" ref="AF256" si="803">+IF(D256=0.333,AD256*W256*H256*F256,0)</f>
        <v>0</v>
      </c>
      <c r="AG256" s="91"/>
      <c r="AH256" s="305"/>
      <c r="AI256" s="299">
        <f t="shared" ref="AI256" si="804">+AH256*G256*D256*0.17</f>
        <v>0</v>
      </c>
      <c r="AK256" s="301"/>
      <c r="AL256" s="301">
        <f t="shared" si="793"/>
        <v>0</v>
      </c>
      <c r="AM256" s="301"/>
      <c r="AN256" s="301"/>
      <c r="AO256" s="299"/>
      <c r="AP256" s="301"/>
      <c r="AQ256" s="301"/>
      <c r="AT256" s="694">
        <f t="shared" si="618"/>
        <v>-24</v>
      </c>
    </row>
    <row r="257" spans="2:46" ht="20.100000000000001" customHeight="1" x14ac:dyDescent="0.3">
      <c r="B257" s="92"/>
      <c r="C257" s="95" t="s">
        <v>31</v>
      </c>
      <c r="D257" s="98">
        <v>0.66700000000000004</v>
      </c>
      <c r="E257" s="92">
        <v>1</v>
      </c>
      <c r="F257" s="92">
        <v>1</v>
      </c>
      <c r="G257" s="555">
        <f>(2.5*0+3.66*0+3.66+5.48)*3.281</f>
        <v>29.988340000000004</v>
      </c>
      <c r="H257" s="98">
        <f>+D257</f>
        <v>0.66700000000000004</v>
      </c>
      <c r="I257" s="94">
        <v>2</v>
      </c>
      <c r="J257" s="99">
        <v>3</v>
      </c>
      <c r="K257" s="100">
        <f>+IF(D257=0.667,E257*F257*G257*H257*J257,0)</f>
        <v>60.006668340000012</v>
      </c>
      <c r="L257" s="100">
        <f>+IF(D257=0.333,E257*F257*G257*J257,0)</f>
        <v>0</v>
      </c>
      <c r="M257" s="99">
        <v>4</v>
      </c>
      <c r="N257" s="100">
        <f>+IF(D257=0.667,E257*F257*G257*H257*M257,0)</f>
        <v>80.008891120000015</v>
      </c>
      <c r="O257" s="100">
        <f>+IF(D257=0.333,E257*F257*G257*M257,0)</f>
        <v>0</v>
      </c>
      <c r="P257" s="27">
        <f>11.833-I257-M257-J257</f>
        <v>2.8330000000000002</v>
      </c>
      <c r="Q257" s="100">
        <f>+IF(D257=0.667,E257*F257*G257*H257*P257,0)</f>
        <v>56.666297135740017</v>
      </c>
      <c r="R257" s="100">
        <f>+IF(D257=0.333,E257*F257*G257*P257,0)</f>
        <v>0</v>
      </c>
      <c r="S257" s="101">
        <f t="shared" si="791"/>
        <v>196.68185659574004</v>
      </c>
      <c r="T257" s="101">
        <f t="shared" si="791"/>
        <v>0</v>
      </c>
      <c r="U257" s="92"/>
      <c r="V257" s="91"/>
      <c r="W257" s="102"/>
      <c r="X257" s="98"/>
      <c r="Y257" s="102"/>
      <c r="Z257" s="98"/>
      <c r="AA257" s="98"/>
      <c r="AB257" s="98"/>
      <c r="AC257" s="91"/>
      <c r="AD257" s="98"/>
      <c r="AE257" s="98"/>
      <c r="AF257" s="98"/>
      <c r="AG257" s="91"/>
      <c r="AH257" s="305">
        <v>1</v>
      </c>
      <c r="AI257" s="299">
        <f>+AH257*G257*D257*0.17</f>
        <v>3.4003778726000009</v>
      </c>
      <c r="AK257" s="301">
        <f t="shared" ref="AK257:AK260" si="805">+IF(D257=0.667,E257*F257*G257,0)</f>
        <v>29.988340000000004</v>
      </c>
      <c r="AL257" s="301">
        <f t="shared" si="793"/>
        <v>0</v>
      </c>
      <c r="AM257" s="301"/>
      <c r="AN257" s="301">
        <f>+IF(D257=0.333,1.33,0)</f>
        <v>0</v>
      </c>
      <c r="AO257" s="299"/>
      <c r="AP257" s="301"/>
      <c r="AQ257" s="301"/>
      <c r="AT257" s="694">
        <f t="shared" si="618"/>
        <v>29.988340000000004</v>
      </c>
    </row>
    <row r="258" spans="2:46" ht="20.100000000000001" customHeight="1" x14ac:dyDescent="0.3">
      <c r="B258" s="92"/>
      <c r="C258" s="95" t="s">
        <v>347</v>
      </c>
      <c r="D258" s="98">
        <v>0.66700000000000004</v>
      </c>
      <c r="E258" s="92">
        <v>-1</v>
      </c>
      <c r="F258" s="92">
        <v>1</v>
      </c>
      <c r="G258" s="555">
        <v>6</v>
      </c>
      <c r="H258" s="98">
        <f t="shared" ref="H258" si="806">+D258</f>
        <v>0.66700000000000004</v>
      </c>
      <c r="I258" s="94"/>
      <c r="J258" s="99"/>
      <c r="K258" s="100">
        <f t="shared" ref="K258" si="807">+IF(D258=0.667,E258*F258*G258*H258*J258,0)</f>
        <v>0</v>
      </c>
      <c r="L258" s="100">
        <f t="shared" ref="L258" si="808">+IF(D258=0.333,E258*F258*G258*J258,0)</f>
        <v>0</v>
      </c>
      <c r="M258" s="99">
        <v>4</v>
      </c>
      <c r="N258" s="100">
        <f t="shared" ref="N258" si="809">+IF(D258=0.667,E258*F258*G258*H258*M258,0)</f>
        <v>-16.008000000000003</v>
      </c>
      <c r="O258" s="100">
        <f t="shared" ref="O258" si="810">+IF(D258=0.333,E258*F258*G258*M258,0)</f>
        <v>0</v>
      </c>
      <c r="P258" s="27">
        <v>0</v>
      </c>
      <c r="Q258" s="100">
        <f t="shared" ref="Q258" si="811">+IF(D258=0.667,E258*F258*G258*H258*P258,0)</f>
        <v>0</v>
      </c>
      <c r="R258" s="100">
        <f t="shared" ref="R258" si="812">+IF(D258=0.333,E258*F258*G258*P258,0)</f>
        <v>0</v>
      </c>
      <c r="S258" s="101">
        <f t="shared" ref="S258" si="813">+Q258+N258+K258</f>
        <v>-16.008000000000003</v>
      </c>
      <c r="T258" s="101">
        <f t="shared" ref="T258" si="814">+R258+O258+L258</f>
        <v>0</v>
      </c>
      <c r="U258" s="92"/>
      <c r="V258" s="91"/>
      <c r="W258" s="102">
        <f>+G258+D258</f>
        <v>6.6669999999999998</v>
      </c>
      <c r="X258" s="98">
        <v>0.5</v>
      </c>
      <c r="Y258" s="102">
        <f>+IF(D258=0.667,-E258*F258*H258*W258*X258,0)</f>
        <v>2.2234445000000003</v>
      </c>
      <c r="Z258" s="98">
        <f>+IF(D258=0.333,-E258*F258*H258*W258*X258,0)</f>
        <v>0</v>
      </c>
      <c r="AA258" s="98">
        <f>+F258*G258*H258</f>
        <v>4.0020000000000007</v>
      </c>
      <c r="AB258" s="98">
        <f t="shared" ref="AB258" si="815">2*F258*W258*X258</f>
        <v>6.6669999999999998</v>
      </c>
      <c r="AC258" s="91"/>
      <c r="AD258" s="98">
        <v>0.16700000000000001</v>
      </c>
      <c r="AE258" s="98">
        <f t="shared" ref="AE258" si="816">+IF(D258=0.667,AD258*W258*H258*F258,0)</f>
        <v>0.74263046300000002</v>
      </c>
      <c r="AF258" s="98">
        <f t="shared" ref="AF258" si="817">+IF(D258=0.333,AD258*W258*H258*F258,0)</f>
        <v>0</v>
      </c>
      <c r="AG258" s="91"/>
      <c r="AH258" s="305"/>
      <c r="AI258" s="299">
        <f t="shared" ref="AI258" si="818">+AH258*G258*D258*0.17</f>
        <v>0</v>
      </c>
      <c r="AK258" s="301"/>
      <c r="AL258" s="301">
        <f t="shared" ref="AL258" si="819">+IF(D258=0.333,E258*F258*G258,0)</f>
        <v>0</v>
      </c>
      <c r="AM258" s="301"/>
      <c r="AN258" s="301"/>
      <c r="AO258" s="299"/>
      <c r="AP258" s="301"/>
      <c r="AQ258" s="301"/>
      <c r="AT258" s="694">
        <f t="shared" si="618"/>
        <v>-6</v>
      </c>
    </row>
    <row r="259" spans="2:46" ht="20.100000000000001" customHeight="1" x14ac:dyDescent="0.3">
      <c r="B259" s="92"/>
      <c r="C259" s="95" t="s">
        <v>335</v>
      </c>
      <c r="D259" s="98">
        <v>0.66700000000000004</v>
      </c>
      <c r="E259" s="92">
        <v>-1</v>
      </c>
      <c r="F259" s="92">
        <v>1</v>
      </c>
      <c r="G259" s="98">
        <f>3.5+3.5</f>
        <v>7</v>
      </c>
      <c r="H259" s="98">
        <f>+D259</f>
        <v>0.66700000000000004</v>
      </c>
      <c r="I259" s="102"/>
      <c r="J259" s="99">
        <v>3</v>
      </c>
      <c r="K259" s="100">
        <f>+IF(D259=0.667,E259*F259*G259*H259*J259,0)</f>
        <v>-14.007000000000001</v>
      </c>
      <c r="L259" s="100">
        <f>+IF(D259=0.333,E259*F259*G259*J259,0)</f>
        <v>0</v>
      </c>
      <c r="M259" s="99">
        <v>4</v>
      </c>
      <c r="N259" s="100">
        <f>+IF(D259=0.667,E259*F259*G259*H259*M259,0)</f>
        <v>-18.676000000000002</v>
      </c>
      <c r="O259" s="100">
        <f>+IF(D259=0.333,E259*F259*G259*M259,0)</f>
        <v>0</v>
      </c>
      <c r="P259" s="590">
        <v>0.5</v>
      </c>
      <c r="Q259" s="100">
        <f>+IF(D259=0.667,E259*F259*G259*H259*P259,0)</f>
        <v>-2.3345000000000002</v>
      </c>
      <c r="R259" s="100">
        <f>+IF(D259=0.333,E259*F259*G259*P259,0)</f>
        <v>0</v>
      </c>
      <c r="S259" s="101">
        <f t="shared" si="791"/>
        <v>-35.017499999999998</v>
      </c>
      <c r="T259" s="101">
        <f t="shared" si="791"/>
        <v>0</v>
      </c>
      <c r="U259" s="92"/>
      <c r="V259" s="91"/>
      <c r="W259" s="98">
        <f>+G259+D259*2</f>
        <v>8.3339999999999996</v>
      </c>
      <c r="X259" s="98">
        <v>0.5</v>
      </c>
      <c r="Y259" s="98">
        <f>+IF(D259=0.667,-E259*F259*H259*W259*X259,0)</f>
        <v>2.7793890000000001</v>
      </c>
      <c r="Z259" s="98">
        <f>+IF(D259=0.333,-E259*F259*H259*W259*X259,0)</f>
        <v>0</v>
      </c>
      <c r="AA259" s="98">
        <f>+F259*G259*H259</f>
        <v>4.6690000000000005</v>
      </c>
      <c r="AB259" s="98">
        <f t="shared" ref="AB259" si="820">2*F259*W259*X259</f>
        <v>8.3339999999999996</v>
      </c>
      <c r="AC259" s="91"/>
      <c r="AD259" s="98"/>
      <c r="AE259" s="98">
        <f>+IF(D259=0.667,AD259*W259*H259*F259,0)</f>
        <v>0</v>
      </c>
      <c r="AF259" s="98">
        <f>+IF(D259=0.333,AD259*W259*H259*F259,0)</f>
        <v>0</v>
      </c>
      <c r="AG259" s="91"/>
      <c r="AH259" s="304"/>
      <c r="AI259" s="299">
        <f>+AH259*G259*D259*0.17</f>
        <v>0</v>
      </c>
      <c r="AK259" s="301">
        <f t="shared" si="805"/>
        <v>-7</v>
      </c>
      <c r="AL259" s="301">
        <f t="shared" si="793"/>
        <v>0</v>
      </c>
      <c r="AM259" s="301">
        <f>+IF(D259=0.667,1.33,0)</f>
        <v>1.33</v>
      </c>
      <c r="AN259" s="301"/>
      <c r="AO259" s="299"/>
      <c r="AP259" s="301"/>
      <c r="AQ259" s="301"/>
      <c r="AT259" s="694">
        <f t="shared" si="618"/>
        <v>-7</v>
      </c>
    </row>
    <row r="260" spans="2:46" ht="20.100000000000001" customHeight="1" x14ac:dyDescent="0.3">
      <c r="B260" s="92"/>
      <c r="C260" s="95" t="s">
        <v>38</v>
      </c>
      <c r="D260" s="98">
        <v>0.66700000000000004</v>
      </c>
      <c r="E260" s="688">
        <f>1*0</f>
        <v>0</v>
      </c>
      <c r="F260" s="688">
        <f>1*0</f>
        <v>0</v>
      </c>
      <c r="G260" s="98">
        <f>(5.593+6.095)*3.281</f>
        <v>38.348327999999995</v>
      </c>
      <c r="H260" s="98">
        <f>+D260</f>
        <v>0.66700000000000004</v>
      </c>
      <c r="I260" s="94">
        <v>2</v>
      </c>
      <c r="J260" s="99">
        <v>3</v>
      </c>
      <c r="K260" s="100">
        <f>+IF(D260=0.667,E260*F260*G260*H260*J260,0)</f>
        <v>0</v>
      </c>
      <c r="L260" s="100">
        <f>+IF(D260=0.333,E260*F260*G260*J260,0)</f>
        <v>0</v>
      </c>
      <c r="M260" s="99">
        <v>4</v>
      </c>
      <c r="N260" s="100">
        <f>+IF(D260=0.667,E260*F260*G260*H260*M260,0)</f>
        <v>0</v>
      </c>
      <c r="O260" s="100">
        <f>+IF(D260=0.333,E260*F260*G260*M260,0)</f>
        <v>0</v>
      </c>
      <c r="P260" s="27">
        <f>11.833-I260-M260-J260</f>
        <v>2.8330000000000002</v>
      </c>
      <c r="Q260" s="100">
        <f>+IF(D260=0.667,E260*F260*G260*H260*P260,0)</f>
        <v>0</v>
      </c>
      <c r="R260" s="100">
        <f>+IF(D260=0.333,E260*F260*G260*P260,0)</f>
        <v>0</v>
      </c>
      <c r="S260" s="555"/>
      <c r="T260" s="101">
        <f t="shared" si="791"/>
        <v>0</v>
      </c>
      <c r="U260" s="92"/>
      <c r="V260" s="91"/>
      <c r="W260" s="102"/>
      <c r="X260" s="98"/>
      <c r="Y260" s="102"/>
      <c r="Z260" s="98"/>
      <c r="AA260" s="98"/>
      <c r="AB260" s="98"/>
      <c r="AC260" s="91"/>
      <c r="AD260" s="98"/>
      <c r="AE260" s="98"/>
      <c r="AF260" s="98"/>
      <c r="AG260" s="91"/>
      <c r="AH260" s="305">
        <v>1</v>
      </c>
      <c r="AI260" s="299">
        <f>+AH260*G260*D260*0.17</f>
        <v>4.3483169119200005</v>
      </c>
      <c r="AK260" s="301">
        <f t="shared" si="805"/>
        <v>0</v>
      </c>
      <c r="AL260" s="301">
        <f t="shared" si="793"/>
        <v>0</v>
      </c>
      <c r="AM260" s="301"/>
      <c r="AN260" s="301">
        <f>+IF(D260=0.333,1.33,0)</f>
        <v>0</v>
      </c>
      <c r="AO260" s="299"/>
      <c r="AP260" s="301"/>
      <c r="AQ260" s="301"/>
      <c r="AT260" s="694">
        <f t="shared" si="618"/>
        <v>0</v>
      </c>
    </row>
    <row r="261" spans="2:46" ht="20.100000000000001" customHeight="1" x14ac:dyDescent="0.3">
      <c r="B261" s="369"/>
      <c r="C261" s="395"/>
      <c r="D261" s="371"/>
      <c r="E261" s="369"/>
      <c r="F261" s="369"/>
      <c r="G261" s="371"/>
      <c r="H261" s="371"/>
      <c r="I261" s="372"/>
      <c r="J261" s="371"/>
      <c r="K261" s="371"/>
      <c r="L261" s="371"/>
      <c r="M261" s="371"/>
      <c r="N261" s="371"/>
      <c r="O261" s="371"/>
      <c r="P261" s="633"/>
      <c r="Q261" s="371"/>
      <c r="R261" s="371"/>
      <c r="S261" s="371"/>
      <c r="T261" s="371"/>
      <c r="U261" s="369"/>
      <c r="V261" s="370"/>
      <c r="W261" s="372"/>
      <c r="X261" s="371"/>
      <c r="Y261" s="372"/>
      <c r="Z261" s="371"/>
      <c r="AA261" s="371"/>
      <c r="AB261" s="371"/>
      <c r="AC261" s="370"/>
      <c r="AD261" s="371"/>
      <c r="AE261" s="371"/>
      <c r="AF261" s="371"/>
      <c r="AG261" s="370"/>
      <c r="AH261" s="376"/>
      <c r="AI261" s="372"/>
      <c r="AK261" s="377"/>
      <c r="AL261" s="377"/>
      <c r="AM261" s="377"/>
      <c r="AN261" s="377"/>
      <c r="AO261" s="372"/>
      <c r="AP261" s="377"/>
      <c r="AQ261" s="377"/>
      <c r="AT261" s="694">
        <f t="shared" si="618"/>
        <v>0</v>
      </c>
    </row>
    <row r="262" spans="2:46" ht="20.100000000000001" customHeight="1" x14ac:dyDescent="0.3">
      <c r="B262" s="369"/>
      <c r="C262" s="97" t="s">
        <v>389</v>
      </c>
      <c r="D262" s="371"/>
      <c r="E262" s="369"/>
      <c r="F262" s="369"/>
      <c r="G262" s="371"/>
      <c r="H262" s="371"/>
      <c r="I262" s="372"/>
      <c r="J262" s="371"/>
      <c r="K262" s="371"/>
      <c r="L262" s="371"/>
      <c r="M262" s="371"/>
      <c r="N262" s="371"/>
      <c r="O262" s="371"/>
      <c r="P262" s="633"/>
      <c r="Q262" s="371"/>
      <c r="R262" s="371"/>
      <c r="S262" s="371"/>
      <c r="T262" s="371"/>
      <c r="U262" s="369"/>
      <c r="V262" s="370"/>
      <c r="W262" s="372"/>
      <c r="X262" s="371"/>
      <c r="Y262" s="372"/>
      <c r="Z262" s="371"/>
      <c r="AA262" s="371"/>
      <c r="AB262" s="371"/>
      <c r="AC262" s="370"/>
      <c r="AD262" s="371"/>
      <c r="AE262" s="371"/>
      <c r="AF262" s="371"/>
      <c r="AG262" s="370"/>
      <c r="AH262" s="376"/>
      <c r="AI262" s="372"/>
      <c r="AK262" s="377"/>
      <c r="AL262" s="377"/>
      <c r="AM262" s="377"/>
      <c r="AN262" s="377"/>
      <c r="AO262" s="372"/>
      <c r="AP262" s="377"/>
      <c r="AQ262" s="377"/>
      <c r="AT262" s="694">
        <f t="shared" si="618"/>
        <v>0</v>
      </c>
    </row>
    <row r="263" spans="2:46" ht="20.100000000000001" customHeight="1" x14ac:dyDescent="0.3">
      <c r="B263" s="92"/>
      <c r="C263" s="95" t="s">
        <v>32</v>
      </c>
      <c r="D263" s="98">
        <v>0.66700000000000004</v>
      </c>
      <c r="E263" s="92">
        <v>1</v>
      </c>
      <c r="F263" s="92">
        <v>1</v>
      </c>
      <c r="G263" s="98">
        <f>(2.449+7.567)*3.281</f>
        <v>32.862496</v>
      </c>
      <c r="H263" s="98">
        <f>+D263</f>
        <v>0.66700000000000004</v>
      </c>
      <c r="I263" s="94">
        <v>2</v>
      </c>
      <c r="J263" s="99">
        <v>3</v>
      </c>
      <c r="K263" s="100">
        <f>+IF(D263=0.667,E263*F263*G263*H263*J263,0)</f>
        <v>65.757854496000007</v>
      </c>
      <c r="L263" s="100">
        <f>+IF(D263=0.333,E263*F263*G263*J263,0)</f>
        <v>0</v>
      </c>
      <c r="M263" s="99">
        <v>4</v>
      </c>
      <c r="N263" s="100">
        <f>+IF(D263=0.667,E263*F263*G263*H263*M263,0)</f>
        <v>87.67713932800001</v>
      </c>
      <c r="O263" s="100">
        <f>+IF(D263=0.333,E263*F263*G263*M263,0)</f>
        <v>0</v>
      </c>
      <c r="P263" s="27">
        <f>11.833-I263-M263-J263</f>
        <v>2.8330000000000002</v>
      </c>
      <c r="Q263" s="100">
        <f>+IF(D263=0.667,E263*F263*G263*H263*P263,0)</f>
        <v>62.097333929056013</v>
      </c>
      <c r="R263" s="100">
        <f>+IF(D263=0.333,E263*F263*G263*P263,0)</f>
        <v>0</v>
      </c>
      <c r="S263" s="101">
        <f t="shared" ref="S263:T266" si="821">+Q263+N263+K263</f>
        <v>215.53232775305605</v>
      </c>
      <c r="T263" s="101">
        <f t="shared" si="821"/>
        <v>0</v>
      </c>
      <c r="U263" s="92"/>
      <c r="V263" s="91"/>
      <c r="W263" s="102"/>
      <c r="X263" s="98"/>
      <c r="Y263" s="102"/>
      <c r="Z263" s="98"/>
      <c r="AA263" s="98"/>
      <c r="AB263" s="98"/>
      <c r="AC263" s="91"/>
      <c r="AD263" s="98"/>
      <c r="AE263" s="98"/>
      <c r="AF263" s="98"/>
      <c r="AG263" s="91"/>
      <c r="AH263" s="305">
        <v>1</v>
      </c>
      <c r="AI263" s="299">
        <f>+AH263*G263*D263*0.17</f>
        <v>3.7262784214400009</v>
      </c>
      <c r="AK263" s="301">
        <f t="shared" ref="AK263" si="822">+IF(D263=0.667,E263*F263*G263,0)</f>
        <v>32.862496</v>
      </c>
      <c r="AL263" s="301">
        <f t="shared" ref="AL263:AL266" si="823">+IF(D263=0.333,E263*F263*G263,0)</f>
        <v>0</v>
      </c>
      <c r="AM263" s="301"/>
      <c r="AN263" s="301">
        <f>+IF(D263=0.333,1.33,0)</f>
        <v>0</v>
      </c>
      <c r="AO263" s="299"/>
      <c r="AP263" s="301"/>
      <c r="AQ263" s="301"/>
      <c r="AT263" s="694">
        <f t="shared" si="618"/>
        <v>32.862496</v>
      </c>
    </row>
    <row r="264" spans="2:46" ht="20.100000000000001" customHeight="1" x14ac:dyDescent="0.3">
      <c r="B264" s="92"/>
      <c r="C264" s="95" t="s">
        <v>347</v>
      </c>
      <c r="D264" s="98">
        <v>0.66700000000000004</v>
      </c>
      <c r="E264" s="92">
        <v>-1</v>
      </c>
      <c r="F264" s="92">
        <v>2</v>
      </c>
      <c r="G264" s="98">
        <v>6</v>
      </c>
      <c r="H264" s="98">
        <f t="shared" ref="H264" si="824">+D264</f>
        <v>0.66700000000000004</v>
      </c>
      <c r="I264" s="94"/>
      <c r="J264" s="99"/>
      <c r="K264" s="100">
        <f t="shared" ref="K264" si="825">+IF(D264=0.667,E264*F264*G264*H264*J264,0)</f>
        <v>0</v>
      </c>
      <c r="L264" s="100">
        <f t="shared" ref="L264" si="826">+IF(D264=0.333,E264*F264*G264*J264,0)</f>
        <v>0</v>
      </c>
      <c r="M264" s="99">
        <v>4</v>
      </c>
      <c r="N264" s="100">
        <f t="shared" ref="N264" si="827">+IF(D264=0.667,E264*F264*G264*H264*M264,0)</f>
        <v>-32.016000000000005</v>
      </c>
      <c r="O264" s="100">
        <f t="shared" ref="O264" si="828">+IF(D264=0.333,E264*F264*G264*M264,0)</f>
        <v>0</v>
      </c>
      <c r="P264" s="27">
        <v>0</v>
      </c>
      <c r="Q264" s="100">
        <f t="shared" ref="Q264" si="829">+IF(D264=0.667,E264*F264*G264*H264*P264,0)</f>
        <v>0</v>
      </c>
      <c r="R264" s="100">
        <f t="shared" ref="R264" si="830">+IF(D264=0.333,E264*F264*G264*P264,0)</f>
        <v>0</v>
      </c>
      <c r="S264" s="101">
        <f t="shared" si="821"/>
        <v>-32.016000000000005</v>
      </c>
      <c r="T264" s="101">
        <f t="shared" si="821"/>
        <v>0</v>
      </c>
      <c r="U264" s="92"/>
      <c r="V264" s="91"/>
      <c r="W264" s="102">
        <f>+G264+D264</f>
        <v>6.6669999999999998</v>
      </c>
      <c r="X264" s="98">
        <v>0.5</v>
      </c>
      <c r="Y264" s="102">
        <f>+IF(D264=0.667,-E264*F264*H264*W264*X264,0)</f>
        <v>4.4468890000000005</v>
      </c>
      <c r="Z264" s="98">
        <f>+IF(D264=0.333,-E264*F264*H264*W264*X264,0)</f>
        <v>0</v>
      </c>
      <c r="AA264" s="98">
        <f>+F264*G264*H264</f>
        <v>8.0040000000000013</v>
      </c>
      <c r="AB264" s="98">
        <f t="shared" ref="AB264" si="831">2*F264*W264*X264</f>
        <v>13.334</v>
      </c>
      <c r="AC264" s="91"/>
      <c r="AD264" s="98">
        <v>0.16700000000000001</v>
      </c>
      <c r="AE264" s="98">
        <f t="shared" ref="AE264" si="832">+IF(D264=0.667,AD264*W264*H264*F264,0)</f>
        <v>1.485260926</v>
      </c>
      <c r="AF264" s="98">
        <f t="shared" ref="AF264" si="833">+IF(D264=0.333,AD264*W264*H264*F264,0)</f>
        <v>0</v>
      </c>
      <c r="AG264" s="91"/>
      <c r="AH264" s="305"/>
      <c r="AI264" s="299">
        <f t="shared" ref="AI264" si="834">+AH264*G264*D264*0.17</f>
        <v>0</v>
      </c>
      <c r="AK264" s="301"/>
      <c r="AL264" s="301">
        <f t="shared" si="823"/>
        <v>0</v>
      </c>
      <c r="AM264" s="301"/>
      <c r="AN264" s="301"/>
      <c r="AO264" s="299"/>
      <c r="AP264" s="301"/>
      <c r="AQ264" s="301"/>
      <c r="AT264" s="694">
        <f t="shared" ref="AT264:AT273" si="835">+E264*F264*G264</f>
        <v>-12</v>
      </c>
    </row>
    <row r="265" spans="2:46" ht="20.100000000000001" customHeight="1" x14ac:dyDescent="0.3">
      <c r="B265" s="92"/>
      <c r="C265" s="95" t="s">
        <v>38</v>
      </c>
      <c r="D265" s="98">
        <v>0.66700000000000004</v>
      </c>
      <c r="E265" s="688">
        <f>1*0</f>
        <v>0</v>
      </c>
      <c r="F265" s="688">
        <f>1*0</f>
        <v>0</v>
      </c>
      <c r="G265" s="98">
        <f>(13.15)*3.281</f>
        <v>43.145150000000001</v>
      </c>
      <c r="H265" s="98">
        <f>+D265</f>
        <v>0.66700000000000004</v>
      </c>
      <c r="I265" s="94">
        <v>2</v>
      </c>
      <c r="J265" s="99">
        <v>3</v>
      </c>
      <c r="K265" s="100">
        <f>+IF(D265=0.667,E265*F265*G265*H265*J265,0)</f>
        <v>0</v>
      </c>
      <c r="L265" s="100">
        <f>+IF(D265=0.333,E265*F265*G265*J265,0)</f>
        <v>0</v>
      </c>
      <c r="M265" s="99">
        <v>4</v>
      </c>
      <c r="N265" s="100">
        <f>+IF(D265=0.667,E265*F265*G265*H265*M265,0)</f>
        <v>0</v>
      </c>
      <c r="O265" s="100">
        <f>+IF(D265=0.333,E265*F265*G265*M265,0)</f>
        <v>0</v>
      </c>
      <c r="P265" s="27">
        <f>11.833-I265-M265-J265</f>
        <v>2.8330000000000002</v>
      </c>
      <c r="Q265" s="100">
        <f>+IF(D265=0.667,E265*F265*G265*H265*P265,0)</f>
        <v>0</v>
      </c>
      <c r="R265" s="100">
        <f>+IF(D265=0.333,E265*F265*G265*P265,0)</f>
        <v>0</v>
      </c>
      <c r="S265" s="555"/>
      <c r="T265" s="101">
        <f t="shared" si="821"/>
        <v>0</v>
      </c>
      <c r="U265" s="92"/>
      <c r="V265" s="91"/>
      <c r="W265" s="102"/>
      <c r="X265" s="98"/>
      <c r="Y265" s="102"/>
      <c r="Z265" s="98"/>
      <c r="AA265" s="98"/>
      <c r="AB265" s="98"/>
      <c r="AC265" s="91"/>
      <c r="AD265" s="98"/>
      <c r="AE265" s="98"/>
      <c r="AF265" s="98"/>
      <c r="AG265" s="91"/>
      <c r="AH265" s="305">
        <v>1</v>
      </c>
      <c r="AI265" s="299">
        <f>+AH265*G265*D265*0.17</f>
        <v>4.8922285585000003</v>
      </c>
      <c r="AK265" s="301">
        <f t="shared" ref="AK265:AK266" si="836">+IF(D265=0.667,E265*F265*G265,0)</f>
        <v>0</v>
      </c>
      <c r="AL265" s="301">
        <f t="shared" si="823"/>
        <v>0</v>
      </c>
      <c r="AM265" s="301"/>
      <c r="AN265" s="301">
        <f>+IF(D265=0.333,1.33,0)</f>
        <v>0</v>
      </c>
      <c r="AO265" s="299"/>
      <c r="AP265" s="301"/>
      <c r="AQ265" s="301"/>
      <c r="AT265" s="694">
        <f t="shared" si="835"/>
        <v>0</v>
      </c>
    </row>
    <row r="266" spans="2:46" ht="20.100000000000001" customHeight="1" x14ac:dyDescent="0.3">
      <c r="B266" s="92"/>
      <c r="C266" s="95" t="s">
        <v>335</v>
      </c>
      <c r="D266" s="98">
        <v>0.66700000000000004</v>
      </c>
      <c r="E266" s="688">
        <f>-1*0</f>
        <v>0</v>
      </c>
      <c r="F266" s="688">
        <f>1*0</f>
        <v>0</v>
      </c>
      <c r="G266" s="98">
        <f>3.5+3.5</f>
        <v>7</v>
      </c>
      <c r="H266" s="98">
        <f>+D266</f>
        <v>0.66700000000000004</v>
      </c>
      <c r="I266" s="102"/>
      <c r="J266" s="99">
        <v>3</v>
      </c>
      <c r="K266" s="100">
        <f>+IF(D266=0.667,E266*F266*G266*H266*J266,0)</f>
        <v>0</v>
      </c>
      <c r="L266" s="100">
        <f>+IF(D266=0.333,E266*F266*G266*J266,0)</f>
        <v>0</v>
      </c>
      <c r="M266" s="99">
        <v>4</v>
      </c>
      <c r="N266" s="100">
        <f>+IF(D266=0.667,E266*F266*G266*H266*M266,0)</f>
        <v>0</v>
      </c>
      <c r="O266" s="100">
        <f>+IF(D266=0.333,E266*F266*G266*M266,0)</f>
        <v>0</v>
      </c>
      <c r="P266" s="590">
        <v>0.5</v>
      </c>
      <c r="Q266" s="100">
        <f>+IF(D266=0.667,E266*F266*G266*H266*P266,0)</f>
        <v>0</v>
      </c>
      <c r="R266" s="100">
        <f>+IF(D266=0.333,E266*F266*G266*P266,0)</f>
        <v>0</v>
      </c>
      <c r="S266" s="555"/>
      <c r="T266" s="101">
        <f t="shared" si="821"/>
        <v>0</v>
      </c>
      <c r="U266" s="92"/>
      <c r="V266" s="91"/>
      <c r="W266" s="98">
        <f>+G266+D266*2</f>
        <v>8.3339999999999996</v>
      </c>
      <c r="X266" s="98">
        <v>0.5</v>
      </c>
      <c r="Y266" s="98">
        <f>+IF(D266=0.667,-E266*F266*H266*W266*X266,0)</f>
        <v>0</v>
      </c>
      <c r="Z266" s="98">
        <f>+IF(D266=0.333,-E266*F266*H266*W266*X266,0)</f>
        <v>0</v>
      </c>
      <c r="AA266" s="98">
        <f>+F266*G266*H266</f>
        <v>0</v>
      </c>
      <c r="AB266" s="98">
        <f t="shared" ref="AB266" si="837">2*F266*W266*X266</f>
        <v>0</v>
      </c>
      <c r="AC266" s="91"/>
      <c r="AD266" s="98"/>
      <c r="AE266" s="98">
        <f>+IF(D266=0.667,AD266*W266*H266*F266,0)</f>
        <v>0</v>
      </c>
      <c r="AF266" s="98">
        <f>+IF(D266=0.333,AD266*W266*H266*F266,0)</f>
        <v>0</v>
      </c>
      <c r="AG266" s="91"/>
      <c r="AH266" s="304"/>
      <c r="AI266" s="299">
        <f>+AH266*G266*D266*0.17</f>
        <v>0</v>
      </c>
      <c r="AK266" s="301">
        <f t="shared" si="836"/>
        <v>0</v>
      </c>
      <c r="AL266" s="301">
        <f t="shared" si="823"/>
        <v>0</v>
      </c>
      <c r="AM266" s="301">
        <f>+IF(D266=0.667,1.33,0)*0</f>
        <v>0</v>
      </c>
      <c r="AN266" s="301"/>
      <c r="AO266" s="299"/>
      <c r="AP266" s="301"/>
      <c r="AQ266" s="301"/>
      <c r="AT266" s="694">
        <f t="shared" si="835"/>
        <v>0</v>
      </c>
    </row>
    <row r="267" spans="2:46" ht="20.100000000000001" customHeight="1" x14ac:dyDescent="0.3">
      <c r="B267" s="369"/>
      <c r="C267" s="395"/>
      <c r="D267" s="371"/>
      <c r="E267" s="369"/>
      <c r="F267" s="369"/>
      <c r="G267" s="371"/>
      <c r="H267" s="371"/>
      <c r="I267" s="372"/>
      <c r="J267" s="371"/>
      <c r="K267" s="371"/>
      <c r="L267" s="371"/>
      <c r="M267" s="371"/>
      <c r="N267" s="371"/>
      <c r="O267" s="371"/>
      <c r="P267" s="633"/>
      <c r="Q267" s="371"/>
      <c r="R267" s="371"/>
      <c r="S267" s="371"/>
      <c r="T267" s="371"/>
      <c r="U267" s="369"/>
      <c r="V267" s="370"/>
      <c r="W267" s="372"/>
      <c r="X267" s="371"/>
      <c r="Y267" s="372"/>
      <c r="Z267" s="371"/>
      <c r="AA267" s="371"/>
      <c r="AB267" s="371"/>
      <c r="AC267" s="370"/>
      <c r="AD267" s="371"/>
      <c r="AE267" s="371"/>
      <c r="AF267" s="371"/>
      <c r="AG267" s="370"/>
      <c r="AH267" s="376"/>
      <c r="AI267" s="372"/>
      <c r="AK267" s="377"/>
      <c r="AL267" s="377"/>
      <c r="AM267" s="377"/>
      <c r="AN267" s="377"/>
      <c r="AO267" s="372"/>
      <c r="AP267" s="377"/>
      <c r="AQ267" s="377"/>
      <c r="AT267" s="694">
        <f t="shared" si="835"/>
        <v>0</v>
      </c>
    </row>
    <row r="268" spans="2:46" ht="20.100000000000001" customHeight="1" x14ac:dyDescent="0.3">
      <c r="B268" s="369"/>
      <c r="C268" s="97" t="s">
        <v>390</v>
      </c>
      <c r="D268" s="371"/>
      <c r="E268" s="369"/>
      <c r="F268" s="369"/>
      <c r="G268" s="371"/>
      <c r="H268" s="371"/>
      <c r="I268" s="372"/>
      <c r="J268" s="371"/>
      <c r="K268" s="371"/>
      <c r="L268" s="371"/>
      <c r="M268" s="371"/>
      <c r="N268" s="371"/>
      <c r="O268" s="371"/>
      <c r="P268" s="633"/>
      <c r="Q268" s="371"/>
      <c r="R268" s="371"/>
      <c r="S268" s="371"/>
      <c r="T268" s="371"/>
      <c r="U268" s="369"/>
      <c r="V268" s="370"/>
      <c r="W268" s="372"/>
      <c r="X268" s="371"/>
      <c r="Y268" s="372"/>
      <c r="Z268" s="371"/>
      <c r="AA268" s="371"/>
      <c r="AB268" s="371"/>
      <c r="AC268" s="370"/>
      <c r="AD268" s="371"/>
      <c r="AE268" s="371"/>
      <c r="AF268" s="371"/>
      <c r="AG268" s="370"/>
      <c r="AH268" s="376"/>
      <c r="AI268" s="372"/>
      <c r="AK268" s="377"/>
      <c r="AL268" s="377"/>
      <c r="AM268" s="377"/>
      <c r="AN268" s="377"/>
      <c r="AO268" s="372"/>
      <c r="AP268" s="377"/>
      <c r="AQ268" s="377"/>
      <c r="AT268" s="694">
        <f t="shared" si="835"/>
        <v>0</v>
      </c>
    </row>
    <row r="269" spans="2:46" ht="20.100000000000001" customHeight="1" x14ac:dyDescent="0.3">
      <c r="B269" s="92"/>
      <c r="C269" s="95" t="s">
        <v>33</v>
      </c>
      <c r="D269" s="98">
        <v>0.66700000000000004</v>
      </c>
      <c r="E269" s="688">
        <f>1*0</f>
        <v>0</v>
      </c>
      <c r="F269" s="688">
        <f>1*0</f>
        <v>0</v>
      </c>
      <c r="G269" s="98">
        <f>(14.29)*3.281</f>
        <v>46.885489999999997</v>
      </c>
      <c r="H269" s="98">
        <f>+D269</f>
        <v>0.66700000000000004</v>
      </c>
      <c r="I269" s="94">
        <v>2</v>
      </c>
      <c r="J269" s="99">
        <v>3</v>
      </c>
      <c r="K269" s="100">
        <f>+IF(D269=0.667,E269*F269*G269*H269*J269,0)</f>
        <v>0</v>
      </c>
      <c r="L269" s="100">
        <f>+IF(D269=0.333,E269*F269*G269*J269,0)</f>
        <v>0</v>
      </c>
      <c r="M269" s="99">
        <v>4</v>
      </c>
      <c r="N269" s="100">
        <f>+IF(D269=0.667,E269*F269*G269*H269*M269,0)</f>
        <v>0</v>
      </c>
      <c r="O269" s="100">
        <f>+IF(D269=0.333,E269*F269*G269*M269,0)</f>
        <v>0</v>
      </c>
      <c r="P269" s="27">
        <f>11.833-I269-M269-J269</f>
        <v>2.8330000000000002</v>
      </c>
      <c r="Q269" s="100">
        <f>+IF(D269=0.667,E269*F269*G269*H269*P269,0)</f>
        <v>0</v>
      </c>
      <c r="R269" s="100">
        <f>+IF(D269=0.333,E269*F269*G269*P269,0)</f>
        <v>0</v>
      </c>
      <c r="S269" s="555"/>
      <c r="T269" s="101">
        <f t="shared" ref="S269:T272" si="838">+R269+O269+L269</f>
        <v>0</v>
      </c>
      <c r="U269" s="92"/>
      <c r="V269" s="91"/>
      <c r="W269" s="102"/>
      <c r="X269" s="98"/>
      <c r="Y269" s="102"/>
      <c r="Z269" s="98"/>
      <c r="AA269" s="98"/>
      <c r="AB269" s="98"/>
      <c r="AC269" s="91"/>
      <c r="AD269" s="98"/>
      <c r="AE269" s="98"/>
      <c r="AF269" s="98"/>
      <c r="AG269" s="91"/>
      <c r="AH269" s="305">
        <v>1</v>
      </c>
      <c r="AI269" s="299">
        <f>+AH269*G269*D269*0.17</f>
        <v>5.3163457111000003</v>
      </c>
      <c r="AK269" s="301">
        <f t="shared" ref="AK269:AK271" si="839">+IF(D269=0.667,E269*F269*G269,0)</f>
        <v>0</v>
      </c>
      <c r="AL269" s="301">
        <f t="shared" ref="AL269:AL272" si="840">+IF(D269=0.333,E269*F269*G269,0)</f>
        <v>0</v>
      </c>
      <c r="AM269" s="301"/>
      <c r="AN269" s="301">
        <f>+IF(D269=0.333,1.33,0)</f>
        <v>0</v>
      </c>
      <c r="AO269" s="299"/>
      <c r="AP269" s="301"/>
      <c r="AQ269" s="301"/>
      <c r="AT269" s="694">
        <f t="shared" si="835"/>
        <v>0</v>
      </c>
    </row>
    <row r="270" spans="2:46" ht="20.100000000000001" customHeight="1" x14ac:dyDescent="0.3">
      <c r="B270" s="92"/>
      <c r="C270" s="95" t="s">
        <v>335</v>
      </c>
      <c r="D270" s="98">
        <v>0.66700000000000004</v>
      </c>
      <c r="E270" s="688">
        <f>-1*0</f>
        <v>0</v>
      </c>
      <c r="F270" s="688">
        <f>1*0</f>
        <v>0</v>
      </c>
      <c r="G270" s="98">
        <f>3.5+3.5</f>
        <v>7</v>
      </c>
      <c r="H270" s="98">
        <f>+D270</f>
        <v>0.66700000000000004</v>
      </c>
      <c r="I270" s="102"/>
      <c r="J270" s="99">
        <v>3</v>
      </c>
      <c r="K270" s="100">
        <f>+IF(D270=0.667,E270*F270*G270*H270*J270,0)</f>
        <v>0</v>
      </c>
      <c r="L270" s="100">
        <f>+IF(D270=0.333,E270*F270*G270*J270,0)</f>
        <v>0</v>
      </c>
      <c r="M270" s="99">
        <v>4</v>
      </c>
      <c r="N270" s="100">
        <f>+IF(D270=0.667,E270*F270*G270*H270*M270,0)</f>
        <v>0</v>
      </c>
      <c r="O270" s="100">
        <f>+IF(D270=0.333,E270*F270*G270*M270,0)</f>
        <v>0</v>
      </c>
      <c r="P270" s="590">
        <v>0.5</v>
      </c>
      <c r="Q270" s="100">
        <f>+IF(D270=0.667,E270*F270*G270*H270*P270,0)</f>
        <v>0</v>
      </c>
      <c r="R270" s="100">
        <f>+IF(D270=0.333,E270*F270*G270*P270,0)</f>
        <v>0</v>
      </c>
      <c r="S270" s="555"/>
      <c r="T270" s="101">
        <f t="shared" si="838"/>
        <v>0</v>
      </c>
      <c r="U270" s="92"/>
      <c r="V270" s="91"/>
      <c r="W270" s="98">
        <f>+G270+D270*2</f>
        <v>8.3339999999999996</v>
      </c>
      <c r="X270" s="98">
        <v>0.5</v>
      </c>
      <c r="Y270" s="98">
        <f>+IF(D270=0.667,-E270*F270*H270*W270*X270,0)</f>
        <v>0</v>
      </c>
      <c r="Z270" s="98">
        <f>+IF(D270=0.333,-E270*F270*H270*W270*X270,0)</f>
        <v>0</v>
      </c>
      <c r="AA270" s="98">
        <f>+F270*G270*H270</f>
        <v>0</v>
      </c>
      <c r="AB270" s="98">
        <f t="shared" ref="AB270" si="841">2*F270*W270*X270</f>
        <v>0</v>
      </c>
      <c r="AC270" s="91"/>
      <c r="AD270" s="98"/>
      <c r="AE270" s="98">
        <f>+IF(D270=0.667,AD270*W270*H270*F270,0)</f>
        <v>0</v>
      </c>
      <c r="AF270" s="98">
        <f>+IF(D270=0.333,AD270*W270*H270*F270,0)</f>
        <v>0</v>
      </c>
      <c r="AG270" s="91"/>
      <c r="AH270" s="304"/>
      <c r="AI270" s="299">
        <f>+AH270*G270*D270*0.17</f>
        <v>0</v>
      </c>
      <c r="AK270" s="301">
        <f t="shared" si="839"/>
        <v>0</v>
      </c>
      <c r="AL270" s="301">
        <f t="shared" si="840"/>
        <v>0</v>
      </c>
      <c r="AM270" s="301">
        <f>+IF(D270=0.667,1.33,0)*0</f>
        <v>0</v>
      </c>
      <c r="AN270" s="301"/>
      <c r="AO270" s="299"/>
      <c r="AP270" s="301"/>
      <c r="AQ270" s="301"/>
      <c r="AT270" s="694">
        <f t="shared" si="835"/>
        <v>0</v>
      </c>
    </row>
    <row r="271" spans="2:46" ht="20.100000000000001" customHeight="1" x14ac:dyDescent="0.3">
      <c r="B271" s="92"/>
      <c r="C271" s="95" t="s">
        <v>32</v>
      </c>
      <c r="D271" s="98">
        <v>0.66700000000000004</v>
      </c>
      <c r="E271" s="92">
        <v>1</v>
      </c>
      <c r="F271" s="92">
        <v>1</v>
      </c>
      <c r="G271" s="98">
        <f>(7.74+5.051)*3.281</f>
        <v>41.967271000000004</v>
      </c>
      <c r="H271" s="98">
        <f>+D271</f>
        <v>0.66700000000000004</v>
      </c>
      <c r="I271" s="94">
        <v>2</v>
      </c>
      <c r="J271" s="99">
        <v>3</v>
      </c>
      <c r="K271" s="100">
        <f>+IF(D271=0.667,E271*F271*G271*H271*J271,0)</f>
        <v>83.976509271000012</v>
      </c>
      <c r="L271" s="100">
        <f>+IF(D271=0.333,E271*F271*G271*J271,0)</f>
        <v>0</v>
      </c>
      <c r="M271" s="99">
        <v>4</v>
      </c>
      <c r="N271" s="100">
        <f>+IF(D271=0.667,E271*F271*G271*H271*M271,0)</f>
        <v>111.96867902800001</v>
      </c>
      <c r="O271" s="100">
        <f>+IF(D271=0.333,E271*F271*G271*M271,0)</f>
        <v>0</v>
      </c>
      <c r="P271" s="27">
        <f>11.833-I271-M271-J271</f>
        <v>2.8330000000000002</v>
      </c>
      <c r="Q271" s="100">
        <f>+IF(D271=0.667,E271*F271*G271*H271*P271,0)</f>
        <v>79.301816921581008</v>
      </c>
      <c r="R271" s="100">
        <f>+IF(D271=0.333,E271*F271*G271*P271,0)</f>
        <v>0</v>
      </c>
      <c r="S271" s="101">
        <f t="shared" si="838"/>
        <v>275.247005220581</v>
      </c>
      <c r="T271" s="101">
        <f t="shared" si="838"/>
        <v>0</v>
      </c>
      <c r="U271" s="92"/>
      <c r="V271" s="91"/>
      <c r="W271" s="102"/>
      <c r="X271" s="98"/>
      <c r="Y271" s="102"/>
      <c r="Z271" s="98"/>
      <c r="AA271" s="98"/>
      <c r="AB271" s="98"/>
      <c r="AC271" s="91"/>
      <c r="AD271" s="98"/>
      <c r="AE271" s="98"/>
      <c r="AF271" s="98"/>
      <c r="AG271" s="91"/>
      <c r="AH271" s="305">
        <v>1</v>
      </c>
      <c r="AI271" s="299">
        <f>+AH271*G271*D271*0.17</f>
        <v>4.758668858690001</v>
      </c>
      <c r="AK271" s="301">
        <f t="shared" si="839"/>
        <v>41.967271000000004</v>
      </c>
      <c r="AL271" s="301">
        <f t="shared" si="840"/>
        <v>0</v>
      </c>
      <c r="AM271" s="301"/>
      <c r="AN271" s="301">
        <f>+IF(D271=0.333,1.33,0)</f>
        <v>0</v>
      </c>
      <c r="AO271" s="299"/>
      <c r="AP271" s="301"/>
      <c r="AQ271" s="301"/>
      <c r="AT271" s="694">
        <f t="shared" si="835"/>
        <v>41.967271000000004</v>
      </c>
    </row>
    <row r="272" spans="2:46" ht="20.100000000000001" customHeight="1" x14ac:dyDescent="0.3">
      <c r="B272" s="92"/>
      <c r="C272" s="95" t="s">
        <v>347</v>
      </c>
      <c r="D272" s="98">
        <v>0.66700000000000004</v>
      </c>
      <c r="E272" s="92">
        <v>-1</v>
      </c>
      <c r="F272" s="92">
        <v>3</v>
      </c>
      <c r="G272" s="98">
        <v>6</v>
      </c>
      <c r="H272" s="98">
        <f t="shared" ref="H272" si="842">+D272</f>
        <v>0.66700000000000004</v>
      </c>
      <c r="I272" s="94"/>
      <c r="J272" s="99"/>
      <c r="K272" s="100">
        <f t="shared" ref="K272" si="843">+IF(D272=0.667,E272*F272*G272*H272*J272,0)</f>
        <v>0</v>
      </c>
      <c r="L272" s="100">
        <f t="shared" ref="L272" si="844">+IF(D272=0.333,E272*F272*G272*J272,0)</f>
        <v>0</v>
      </c>
      <c r="M272" s="99">
        <v>4</v>
      </c>
      <c r="N272" s="100">
        <f t="shared" ref="N272" si="845">+IF(D272=0.667,E272*F272*G272*H272*M272,0)</f>
        <v>-48.024000000000001</v>
      </c>
      <c r="O272" s="100">
        <f t="shared" ref="O272" si="846">+IF(D272=0.333,E272*F272*G272*M272,0)</f>
        <v>0</v>
      </c>
      <c r="P272" s="27">
        <v>0</v>
      </c>
      <c r="Q272" s="100">
        <f t="shared" ref="Q272" si="847">+IF(D272=0.667,E272*F272*G272*H272*P272,0)</f>
        <v>0</v>
      </c>
      <c r="R272" s="100">
        <f t="shared" ref="R272" si="848">+IF(D272=0.333,E272*F272*G272*P272,0)</f>
        <v>0</v>
      </c>
      <c r="S272" s="101">
        <f t="shared" si="838"/>
        <v>-48.024000000000001</v>
      </c>
      <c r="T272" s="101">
        <f t="shared" si="838"/>
        <v>0</v>
      </c>
      <c r="U272" s="92"/>
      <c r="V272" s="91"/>
      <c r="W272" s="102">
        <f>+G272+D272</f>
        <v>6.6669999999999998</v>
      </c>
      <c r="X272" s="98">
        <v>0.5</v>
      </c>
      <c r="Y272" s="102">
        <f>+IF(D272=0.667,-E272*F272*H272*W272*X272,0)</f>
        <v>6.6703335000000008</v>
      </c>
      <c r="Z272" s="98">
        <f>+IF(D272=0.333,-E272*F272*H272*W272*X272,0)</f>
        <v>0</v>
      </c>
      <c r="AA272" s="98">
        <f>+F272*G272*H272</f>
        <v>12.006</v>
      </c>
      <c r="AB272" s="98">
        <f t="shared" ref="AB272" si="849">2*F272*W272*X272</f>
        <v>20.000999999999998</v>
      </c>
      <c r="AC272" s="91"/>
      <c r="AD272" s="98">
        <v>0.16700000000000001</v>
      </c>
      <c r="AE272" s="98">
        <f t="shared" ref="AE272" si="850">+IF(D272=0.667,AD272*W272*H272*F272,0)</f>
        <v>2.2278913889999998</v>
      </c>
      <c r="AF272" s="98">
        <f t="shared" ref="AF272" si="851">+IF(D272=0.333,AD272*W272*H272*F272,0)</f>
        <v>0</v>
      </c>
      <c r="AG272" s="91"/>
      <c r="AH272" s="305"/>
      <c r="AI272" s="299">
        <f t="shared" ref="AI272" si="852">+AH272*G272*D272*0.17</f>
        <v>0</v>
      </c>
      <c r="AK272" s="301"/>
      <c r="AL272" s="301">
        <f t="shared" si="840"/>
        <v>0</v>
      </c>
      <c r="AM272" s="301"/>
      <c r="AN272" s="301"/>
      <c r="AO272" s="299"/>
      <c r="AP272" s="301"/>
      <c r="AQ272" s="301"/>
      <c r="AT272" s="694">
        <f t="shared" si="835"/>
        <v>-18</v>
      </c>
    </row>
    <row r="273" spans="2:46" ht="20.100000000000001" customHeight="1" x14ac:dyDescent="0.3">
      <c r="B273" s="369"/>
      <c r="C273" s="370"/>
      <c r="D273" s="371"/>
      <c r="E273" s="369"/>
      <c r="F273" s="369"/>
      <c r="G273" s="371"/>
      <c r="H273" s="371"/>
      <c r="I273" s="374"/>
      <c r="J273" s="397"/>
      <c r="K273" s="398"/>
      <c r="L273" s="398"/>
      <c r="M273" s="397"/>
      <c r="N273" s="398"/>
      <c r="O273" s="398"/>
      <c r="P273" s="400"/>
      <c r="Q273" s="398"/>
      <c r="R273" s="398"/>
      <c r="S273" s="399"/>
      <c r="T273" s="399"/>
      <c r="U273" s="369"/>
      <c r="V273" s="373"/>
      <c r="W273" s="374"/>
      <c r="X273" s="374"/>
      <c r="Y273" s="374"/>
      <c r="Z273" s="374"/>
      <c r="AA273" s="374"/>
      <c r="AB273" s="374"/>
      <c r="AC273" s="400"/>
      <c r="AD273" s="374"/>
      <c r="AE273" s="374"/>
      <c r="AF273" s="374"/>
      <c r="AG273" s="400"/>
      <c r="AH273" s="401"/>
      <c r="AI273" s="374"/>
      <c r="AK273" s="378"/>
      <c r="AL273" s="378"/>
      <c r="AM273" s="378"/>
      <c r="AN273" s="378"/>
      <c r="AO273" s="374"/>
      <c r="AP273" s="378"/>
      <c r="AQ273" s="378"/>
      <c r="AT273" s="694">
        <f t="shared" si="835"/>
        <v>0</v>
      </c>
    </row>
    <row r="274" spans="2:46" ht="19.95" customHeight="1" x14ac:dyDescent="0.3">
      <c r="B274" s="92"/>
      <c r="C274" s="95"/>
      <c r="D274" s="298"/>
      <c r="E274" s="92"/>
      <c r="F274" s="92"/>
      <c r="G274" s="98"/>
      <c r="H274" s="98"/>
      <c r="I274" s="102"/>
      <c r="J274" s="424"/>
      <c r="K274" s="425"/>
      <c r="L274" s="425"/>
      <c r="M274" s="424"/>
      <c r="N274" s="425"/>
      <c r="O274" s="425"/>
      <c r="P274" s="427"/>
      <c r="Q274" s="425"/>
      <c r="R274" s="425"/>
      <c r="S274" s="426"/>
      <c r="T274" s="426"/>
      <c r="U274" s="92"/>
      <c r="V274" s="91"/>
      <c r="W274" s="102"/>
      <c r="X274" s="102"/>
      <c r="Y274" s="102"/>
      <c r="Z274" s="102"/>
      <c r="AA274" s="102"/>
      <c r="AB274" s="102"/>
      <c r="AC274" s="427"/>
      <c r="AD274" s="102"/>
      <c r="AE274" s="102"/>
      <c r="AF274" s="102"/>
      <c r="AG274" s="427"/>
      <c r="AH274" s="102"/>
      <c r="AI274" s="102"/>
      <c r="AK274" s="301"/>
      <c r="AL274" s="301">
        <f>+IF(D287=0.333,E287*F287*G287,0)</f>
        <v>0</v>
      </c>
      <c r="AM274" s="301"/>
      <c r="AN274" s="301"/>
      <c r="AO274" s="299"/>
      <c r="AP274" s="301">
        <f>+S287</f>
        <v>0</v>
      </c>
      <c r="AQ274" s="301"/>
    </row>
    <row r="275" spans="2:46" ht="20.100000000000001" customHeight="1" x14ac:dyDescent="0.3">
      <c r="B275" s="18"/>
      <c r="C275" s="19" t="s">
        <v>24</v>
      </c>
      <c r="D275" s="298"/>
      <c r="E275" s="18"/>
      <c r="F275" s="18"/>
      <c r="G275" s="20"/>
      <c r="H275" s="20"/>
      <c r="I275" s="21"/>
      <c r="J275" s="81"/>
      <c r="K275" s="23">
        <f>SUM(K7:K274)</f>
        <v>3029.0449515930004</v>
      </c>
      <c r="L275" s="23">
        <f>SUM(L7:L274)</f>
        <v>101.06249400000002</v>
      </c>
      <c r="M275" s="24"/>
      <c r="N275" s="23">
        <f>SUM(N7:N274)</f>
        <v>3277.1861421840022</v>
      </c>
      <c r="O275" s="23">
        <f>SUM(O7:O274)</f>
        <v>134.74999200000002</v>
      </c>
      <c r="P275" s="632"/>
      <c r="Q275" s="23">
        <f>SUM(Q7:Q274)</f>
        <v>2991.7411091023887</v>
      </c>
      <c r="R275" s="23">
        <f>SUM(R7:R274)</f>
        <v>104.64393183400001</v>
      </c>
      <c r="S275" s="25">
        <f>SUM(S7:S274)</f>
        <v>9297.9722028793949</v>
      </c>
      <c r="T275" s="25">
        <f>SUM(T7:T274)</f>
        <v>340.45641783400004</v>
      </c>
      <c r="U275" s="18"/>
      <c r="V275" s="26"/>
      <c r="W275" s="21"/>
      <c r="X275" s="21"/>
      <c r="Y275" s="25">
        <f>SUM(Y7:Y274)</f>
        <v>144.44180781150001</v>
      </c>
      <c r="Z275" s="25">
        <f>SUM(Z7:Z274)</f>
        <v>0.59656950000000009</v>
      </c>
      <c r="AA275" s="25">
        <f>SUM(AA7:AA274)</f>
        <v>257.04407962300007</v>
      </c>
      <c r="AB275" s="25">
        <f>SUM(AB7:AB274)</f>
        <v>436.69186899999983</v>
      </c>
      <c r="AC275" s="27"/>
      <c r="AD275" s="21"/>
      <c r="AE275" s="25">
        <f>SUM(AE7:AE274)</f>
        <v>33.938223298000004</v>
      </c>
      <c r="AF275" s="25">
        <f>SUM(AF7:AF274)</f>
        <v>0</v>
      </c>
      <c r="AG275" s="27"/>
      <c r="AH275" s="21"/>
      <c r="AI275" s="25">
        <f>SUM(AI7:AI274)</f>
        <v>447.12971538766004</v>
      </c>
      <c r="AK275" s="302">
        <f t="shared" ref="AK275:AQ275" si="853">SUM(AK7:AK274)</f>
        <v>1535.8550639999999</v>
      </c>
      <c r="AL275" s="302">
        <f t="shared" si="853"/>
        <v>33.687498000000005</v>
      </c>
      <c r="AM275" s="302">
        <f t="shared" si="853"/>
        <v>17.29</v>
      </c>
      <c r="AN275" s="302">
        <f t="shared" si="853"/>
        <v>1.33</v>
      </c>
      <c r="AO275" s="302">
        <f t="shared" si="853"/>
        <v>0</v>
      </c>
      <c r="AP275" s="302">
        <f t="shared" si="853"/>
        <v>841.71841056951121</v>
      </c>
      <c r="AQ275" s="302">
        <f t="shared" si="853"/>
        <v>0</v>
      </c>
      <c r="AT275" s="25">
        <f>SUM(AT7:AT274)</f>
        <v>1341.1482609999996</v>
      </c>
    </row>
    <row r="276" spans="2:46" ht="19.5" customHeight="1" x14ac:dyDescent="0.3">
      <c r="B276" s="428"/>
      <c r="C276" s="429"/>
      <c r="D276" s="430"/>
      <c r="E276" s="428"/>
      <c r="F276" s="428"/>
      <c r="G276" s="430"/>
      <c r="H276" s="430">
        <f>+D276</f>
        <v>0</v>
      </c>
      <c r="I276" s="431"/>
      <c r="J276" s="431"/>
      <c r="K276" s="431"/>
      <c r="L276" s="431"/>
      <c r="M276" s="431"/>
      <c r="N276" s="431"/>
      <c r="O276" s="431"/>
      <c r="P276" s="631"/>
      <c r="Q276" s="431"/>
      <c r="R276" s="431"/>
      <c r="S276" s="431"/>
      <c r="T276" s="431"/>
      <c r="U276" s="428"/>
      <c r="V276" s="26"/>
      <c r="W276" s="431">
        <f>+G276+D276+D276</f>
        <v>0</v>
      </c>
      <c r="X276" s="431"/>
      <c r="Y276" s="431">
        <f>+IF(D276=0.667,F276*H276*W276*X276,0)</f>
        <v>0</v>
      </c>
      <c r="Z276" s="431">
        <f>+IF(D276=0.333,F276*H276*W276*X276,0)</f>
        <v>0</v>
      </c>
      <c r="AA276" s="431">
        <f>+F276*G276*H276</f>
        <v>0</v>
      </c>
      <c r="AB276" s="431">
        <f>2*F276*W276*X276</f>
        <v>0</v>
      </c>
      <c r="AC276" s="27"/>
      <c r="AD276" s="431">
        <f>2*H276*Y276*Z276</f>
        <v>0</v>
      </c>
      <c r="AE276" s="431">
        <f>2*J276*Z276*AA276</f>
        <v>0</v>
      </c>
      <c r="AF276" s="431">
        <f>2*K276*AA276*AB276</f>
        <v>0</v>
      </c>
      <c r="AG276" s="27"/>
      <c r="AH276" s="431">
        <f>2*M276*AC276*AD276</f>
        <v>0</v>
      </c>
      <c r="AI276" s="431">
        <f>2*N276*AD276*AE276</f>
        <v>0</v>
      </c>
      <c r="AK276" s="379">
        <f>+AK275*0.667*0.667</f>
        <v>683.28502356789602</v>
      </c>
      <c r="AL276" s="379"/>
      <c r="AM276" s="379">
        <f>0.667*(7-0.667)*AM275*2</f>
        <v>146.06975838000002</v>
      </c>
      <c r="AN276" s="379"/>
      <c r="AO276" s="297"/>
      <c r="AP276" s="379">
        <f>+AP275</f>
        <v>841.71841056951121</v>
      </c>
      <c r="AQ276" s="379"/>
      <c r="AT276" s="28">
        <f>440+440+120+120</f>
        <v>1120</v>
      </c>
    </row>
    <row r="277" spans="2:46" s="382" customFormat="1" x14ac:dyDescent="0.3">
      <c r="B277" s="49"/>
      <c r="C277" s="432"/>
      <c r="D277" s="433"/>
      <c r="E277" s="49"/>
      <c r="F277" s="49"/>
      <c r="G277" s="433"/>
      <c r="H277" s="433"/>
      <c r="I277" s="434"/>
      <c r="J277" s="434"/>
      <c r="K277" s="434"/>
      <c r="L277" s="434"/>
      <c r="M277" s="434"/>
      <c r="N277" s="434"/>
      <c r="O277" s="434"/>
      <c r="P277" s="630"/>
      <c r="Q277" s="434"/>
      <c r="R277" s="434"/>
      <c r="S277" s="434"/>
      <c r="T277" s="434"/>
      <c r="U277" s="49"/>
      <c r="W277" s="434"/>
      <c r="X277" s="434"/>
      <c r="Y277" s="434"/>
      <c r="Z277" s="434"/>
      <c r="AA277" s="434"/>
      <c r="AB277" s="434"/>
      <c r="AC277" s="435"/>
      <c r="AD277" s="434"/>
      <c r="AE277" s="434"/>
      <c r="AF277" s="434"/>
      <c r="AG277" s="435"/>
      <c r="AH277" s="434"/>
      <c r="AI277" s="434"/>
      <c r="AK277" s="380"/>
      <c r="AL277" s="380">
        <f>+AL275*0.667</f>
        <v>22.469561166000005</v>
      </c>
      <c r="AM277" s="380"/>
      <c r="AN277" s="380">
        <f>(7-0.667)*AN275*2</f>
        <v>16.845780000000001</v>
      </c>
      <c r="AO277" s="381">
        <f>+AO275*(3-0.667)</f>
        <v>0</v>
      </c>
      <c r="AP277" s="380"/>
      <c r="AQ277" s="380">
        <f>1.33*(7-0.667)*AQ275</f>
        <v>0</v>
      </c>
    </row>
    <row r="278" spans="2:46" s="382" customFormat="1" x14ac:dyDescent="0.3">
      <c r="E278" s="49"/>
      <c r="F278" s="49"/>
      <c r="G278" s="433"/>
      <c r="H278" s="433"/>
      <c r="I278" s="434"/>
      <c r="J278" s="434"/>
      <c r="K278" s="434"/>
      <c r="L278" s="434"/>
      <c r="M278" s="434"/>
      <c r="N278" s="434"/>
      <c r="O278" s="434"/>
      <c r="P278" s="630"/>
      <c r="Q278" s="434"/>
      <c r="R278" s="434"/>
      <c r="S278" s="434"/>
      <c r="T278" s="434"/>
      <c r="U278" s="49"/>
      <c r="W278" s="434"/>
      <c r="X278" s="434"/>
      <c r="Y278" s="434"/>
      <c r="Z278" s="434"/>
      <c r="AA278" s="434"/>
      <c r="AB278" s="434"/>
      <c r="AC278" s="435"/>
      <c r="AD278" s="434"/>
      <c r="AE278" s="434"/>
      <c r="AF278" s="434"/>
      <c r="AG278" s="435"/>
      <c r="AH278" s="434"/>
      <c r="AI278" s="434"/>
      <c r="AO278" s="383"/>
    </row>
    <row r="279" spans="2:46" s="90" customFormat="1" ht="26.25" customHeight="1" x14ac:dyDescent="0.3">
      <c r="B279" s="772" t="s">
        <v>247</v>
      </c>
      <c r="C279" s="773"/>
      <c r="D279" s="773"/>
      <c r="E279" s="773"/>
      <c r="F279" s="773"/>
      <c r="G279" s="258"/>
      <c r="H279" s="258"/>
      <c r="I279" s="386"/>
      <c r="J279" s="386"/>
      <c r="K279" s="774" t="s">
        <v>25</v>
      </c>
      <c r="L279" s="775"/>
      <c r="M279" s="386"/>
      <c r="N279" s="774" t="s">
        <v>26</v>
      </c>
      <c r="O279" s="775"/>
      <c r="P279" s="384"/>
      <c r="Q279" s="774" t="s">
        <v>27</v>
      </c>
      <c r="R279" s="775"/>
      <c r="S279" s="774" t="s">
        <v>10</v>
      </c>
      <c r="T279" s="775"/>
      <c r="U279" s="258"/>
      <c r="V279" s="61"/>
      <c r="W279" s="384"/>
      <c r="X279" s="384"/>
      <c r="Y279" s="776"/>
      <c r="Z279" s="776"/>
      <c r="AA279" s="776"/>
      <c r="AB279" s="776"/>
      <c r="AC279" s="387"/>
      <c r="AD279" s="384"/>
      <c r="AE279" s="384"/>
      <c r="AF279" s="384"/>
      <c r="AG279" s="387"/>
      <c r="AH279" s="384"/>
      <c r="AI279" s="384"/>
      <c r="AO279" s="386"/>
    </row>
    <row r="280" spans="2:46" s="86" customFormat="1" ht="27.6" x14ac:dyDescent="0.3">
      <c r="B280" s="313" t="s">
        <v>0</v>
      </c>
      <c r="C280" s="313" t="s">
        <v>28</v>
      </c>
      <c r="D280" s="313" t="s">
        <v>2</v>
      </c>
      <c r="E280" s="769" t="s">
        <v>3</v>
      </c>
      <c r="F280" s="769"/>
      <c r="G280" s="313"/>
      <c r="H280" s="313"/>
      <c r="I280" s="312"/>
      <c r="J280" s="312"/>
      <c r="K280" s="312" t="s">
        <v>19</v>
      </c>
      <c r="L280" s="312" t="s">
        <v>20</v>
      </c>
      <c r="M280" s="312"/>
      <c r="N280" s="312" t="s">
        <v>19</v>
      </c>
      <c r="O280" s="312" t="s">
        <v>20</v>
      </c>
      <c r="P280" s="591"/>
      <c r="Q280" s="312" t="s">
        <v>19</v>
      </c>
      <c r="R280" s="312" t="s">
        <v>20</v>
      </c>
      <c r="S280" s="312" t="s">
        <v>19</v>
      </c>
      <c r="T280" s="312" t="s">
        <v>20</v>
      </c>
      <c r="U280" s="313" t="s">
        <v>11</v>
      </c>
      <c r="V280" s="45"/>
      <c r="W280" s="770" t="s">
        <v>12</v>
      </c>
      <c r="X280" s="770"/>
      <c r="Y280" s="770"/>
      <c r="Z280" s="770"/>
      <c r="AA280" s="770" t="s">
        <v>13</v>
      </c>
      <c r="AB280" s="770"/>
      <c r="AC280" s="46"/>
      <c r="AD280" s="770" t="s">
        <v>14</v>
      </c>
      <c r="AE280" s="770"/>
      <c r="AF280" s="770"/>
      <c r="AG280" s="46"/>
      <c r="AH280" s="770" t="s">
        <v>15</v>
      </c>
      <c r="AI280" s="770"/>
      <c r="AK280" s="777" t="s">
        <v>313</v>
      </c>
      <c r="AL280" s="777"/>
      <c r="AO280" s="106"/>
    </row>
    <row r="281" spans="2:46" s="49" customFormat="1" ht="24.9" customHeight="1" x14ac:dyDescent="0.3">
      <c r="B281" s="47"/>
      <c r="C281" s="64" t="s">
        <v>90</v>
      </c>
      <c r="D281" s="47"/>
      <c r="E281" s="47"/>
      <c r="F281" s="47"/>
      <c r="G281" s="47"/>
      <c r="H281" s="47"/>
      <c r="I281" s="48"/>
      <c r="J281" s="48"/>
      <c r="K281" s="48"/>
      <c r="L281" s="48"/>
      <c r="M281" s="48"/>
      <c r="N281" s="48"/>
      <c r="O281" s="48"/>
      <c r="P281" s="46"/>
      <c r="Q281" s="48"/>
      <c r="R281" s="48"/>
      <c r="S281" s="48"/>
      <c r="T281" s="48"/>
      <c r="U281" s="47"/>
      <c r="W281" s="312" t="s">
        <v>4</v>
      </c>
      <c r="X281" s="312" t="s">
        <v>16</v>
      </c>
      <c r="Y281" s="312" t="s">
        <v>19</v>
      </c>
      <c r="Z281" s="312" t="s">
        <v>20</v>
      </c>
      <c r="AA281" s="312" t="s">
        <v>21</v>
      </c>
      <c r="AB281" s="312" t="s">
        <v>22</v>
      </c>
      <c r="AC281" s="46"/>
      <c r="AD281" s="312" t="s">
        <v>16</v>
      </c>
      <c r="AE281" s="312" t="s">
        <v>19</v>
      </c>
      <c r="AF281" s="312" t="s">
        <v>20</v>
      </c>
      <c r="AG281" s="46"/>
      <c r="AH281" s="312" t="s">
        <v>3</v>
      </c>
      <c r="AI281" s="312" t="s">
        <v>23</v>
      </c>
      <c r="AK281" s="355" t="s">
        <v>19</v>
      </c>
      <c r="AL281" s="355" t="s">
        <v>20</v>
      </c>
      <c r="AO281" s="383"/>
    </row>
    <row r="282" spans="2:46" ht="24.9" customHeight="1" x14ac:dyDescent="0.3">
      <c r="B282" s="18"/>
      <c r="C282" s="50"/>
      <c r="D282" s="18" t="s">
        <v>29</v>
      </c>
      <c r="E282" s="18">
        <v>1</v>
      </c>
      <c r="F282" s="18">
        <v>1</v>
      </c>
      <c r="G282" s="20"/>
      <c r="H282" s="18"/>
      <c r="I282" s="21"/>
      <c r="J282" s="21"/>
      <c r="K282" s="21">
        <f>K275</f>
        <v>3029.0449515930004</v>
      </c>
      <c r="L282" s="21"/>
      <c r="M282" s="21"/>
      <c r="N282" s="21">
        <f>N275</f>
        <v>3277.1861421840022</v>
      </c>
      <c r="O282" s="21"/>
      <c r="P282" s="225"/>
      <c r="Q282" s="21">
        <f>Q275</f>
        <v>2991.7411091023887</v>
      </c>
      <c r="R282" s="21"/>
      <c r="S282" s="52">
        <f>+Q282+N282+K282</f>
        <v>9297.9722028793913</v>
      </c>
      <c r="T282" s="52"/>
      <c r="U282" s="53"/>
      <c r="W282" s="48"/>
      <c r="X282" s="48"/>
      <c r="Y282" s="55">
        <f>Y275</f>
        <v>144.44180781150001</v>
      </c>
      <c r="Z282" s="55"/>
      <c r="AA282" s="55">
        <f t="shared" ref="AA282:AI282" si="854">AA275</f>
        <v>257.04407962300007</v>
      </c>
      <c r="AB282" s="55"/>
      <c r="AC282" s="55">
        <f t="shared" si="854"/>
        <v>0</v>
      </c>
      <c r="AD282" s="55">
        <f t="shared" si="854"/>
        <v>0</v>
      </c>
      <c r="AE282" s="55">
        <f t="shared" si="854"/>
        <v>33.938223298000004</v>
      </c>
      <c r="AF282" s="55">
        <f t="shared" si="854"/>
        <v>0</v>
      </c>
      <c r="AG282" s="55">
        <f t="shared" si="854"/>
        <v>0</v>
      </c>
      <c r="AH282" s="55">
        <f t="shared" si="854"/>
        <v>0</v>
      </c>
      <c r="AI282" s="55">
        <f t="shared" si="854"/>
        <v>447.12971538766004</v>
      </c>
      <c r="AK282" s="388">
        <f>+AK276+AM276+AP276</f>
        <v>1671.0731925174073</v>
      </c>
      <c r="AL282" s="389"/>
    </row>
    <row r="283" spans="2:46" ht="24.9" customHeight="1" x14ac:dyDescent="0.3">
      <c r="B283" s="18"/>
      <c r="C283" s="50"/>
      <c r="D283" s="18" t="s">
        <v>30</v>
      </c>
      <c r="E283" s="18">
        <v>1</v>
      </c>
      <c r="F283" s="18">
        <v>1</v>
      </c>
      <c r="G283" s="18"/>
      <c r="H283" s="18"/>
      <c r="I283" s="21"/>
      <c r="J283" s="21"/>
      <c r="K283" s="21"/>
      <c r="L283" s="21">
        <f>L275</f>
        <v>101.06249400000002</v>
      </c>
      <c r="M283" s="21"/>
      <c r="N283" s="21"/>
      <c r="O283" s="21">
        <f>O275</f>
        <v>134.74999200000002</v>
      </c>
      <c r="P283" s="225"/>
      <c r="Q283" s="21"/>
      <c r="R283" s="21">
        <f>R275</f>
        <v>104.64393183400001</v>
      </c>
      <c r="S283" s="52"/>
      <c r="T283" s="52">
        <f>+R283+O283+L283</f>
        <v>340.45641783400004</v>
      </c>
      <c r="U283" s="56"/>
      <c r="W283" s="48"/>
      <c r="X283" s="48"/>
      <c r="Y283" s="48"/>
      <c r="Z283" s="48">
        <f>Z275</f>
        <v>0.59656950000000009</v>
      </c>
      <c r="AA283" s="48"/>
      <c r="AB283" s="48">
        <f t="shared" ref="AB283:AH283" si="855">AB275</f>
        <v>436.69186899999983</v>
      </c>
      <c r="AC283" s="48">
        <f t="shared" si="855"/>
        <v>0</v>
      </c>
      <c r="AD283" s="48">
        <f t="shared" si="855"/>
        <v>0</v>
      </c>
      <c r="AE283" s="48"/>
      <c r="AF283" s="48">
        <f t="shared" si="855"/>
        <v>0</v>
      </c>
      <c r="AG283" s="48">
        <f t="shared" si="855"/>
        <v>0</v>
      </c>
      <c r="AH283" s="48">
        <f t="shared" si="855"/>
        <v>0</v>
      </c>
      <c r="AI283" s="48"/>
      <c r="AK283" s="389"/>
      <c r="AL283" s="388">
        <f>+AL277+AN277+AO277</f>
        <v>39.31534116600001</v>
      </c>
    </row>
    <row r="284" spans="2:46" ht="24.9" customHeight="1" x14ac:dyDescent="0.3">
      <c r="B284" s="18"/>
      <c r="C284" s="50"/>
      <c r="D284" s="18"/>
      <c r="E284" s="18"/>
      <c r="F284" s="18"/>
      <c r="G284" s="18"/>
      <c r="H284" s="18"/>
      <c r="I284" s="21"/>
      <c r="J284" s="21"/>
      <c r="K284" s="21"/>
      <c r="L284" s="21"/>
      <c r="M284" s="21"/>
      <c r="N284" s="21"/>
      <c r="O284" s="21"/>
      <c r="P284" s="225"/>
      <c r="Q284" s="21"/>
      <c r="R284" s="21"/>
      <c r="S284" s="21"/>
      <c r="T284" s="21"/>
      <c r="U284" s="18"/>
      <c r="W284" s="48"/>
      <c r="X284" s="48"/>
      <c r="Y284" s="48"/>
      <c r="Z284" s="48"/>
      <c r="AA284" s="48"/>
      <c r="AB284" s="48"/>
      <c r="AC284" s="48"/>
      <c r="AD284" s="48"/>
      <c r="AE284" s="48"/>
      <c r="AF284" s="48"/>
      <c r="AG284" s="48"/>
      <c r="AH284" s="48"/>
      <c r="AI284" s="48"/>
      <c r="AK284" s="297"/>
      <c r="AL284" s="297"/>
    </row>
    <row r="285" spans="2:46" s="90" customFormat="1" ht="24.9" customHeight="1" x14ac:dyDescent="0.3">
      <c r="B285" s="57"/>
      <c r="C285" s="58" t="s">
        <v>10</v>
      </c>
      <c r="D285" s="57"/>
      <c r="E285" s="57"/>
      <c r="F285" s="57"/>
      <c r="G285" s="57"/>
      <c r="H285" s="57"/>
      <c r="I285" s="59"/>
      <c r="J285" s="59"/>
      <c r="K285" s="60">
        <f>SUM(K282:K283)</f>
        <v>3029.0449515930004</v>
      </c>
      <c r="L285" s="60">
        <f t="shared" ref="L285:T285" si="856">SUM(L282:L283)</f>
        <v>101.06249400000002</v>
      </c>
      <c r="M285" s="60">
        <f t="shared" si="856"/>
        <v>0</v>
      </c>
      <c r="N285" s="60">
        <f t="shared" si="856"/>
        <v>3277.1861421840022</v>
      </c>
      <c r="O285" s="60">
        <f t="shared" si="856"/>
        <v>134.74999200000002</v>
      </c>
      <c r="P285" s="629">
        <f t="shared" si="856"/>
        <v>0</v>
      </c>
      <c r="Q285" s="60">
        <f t="shared" si="856"/>
        <v>2991.7411091023887</v>
      </c>
      <c r="R285" s="60">
        <f t="shared" si="856"/>
        <v>104.64393183400001</v>
      </c>
      <c r="S285" s="60">
        <f t="shared" si="856"/>
        <v>9297.9722028793913</v>
      </c>
      <c r="T285" s="60">
        <f t="shared" si="856"/>
        <v>340.45641783400004</v>
      </c>
      <c r="U285" s="57"/>
      <c r="V285" s="61"/>
      <c r="W285" s="48"/>
      <c r="X285" s="48"/>
      <c r="Y285" s="60">
        <f t="shared" ref="Y285:AI285" si="857">SUM(Y282:Y284)</f>
        <v>144.44180781150001</v>
      </c>
      <c r="Z285" s="60">
        <f t="shared" si="857"/>
        <v>0.59656950000000009</v>
      </c>
      <c r="AA285" s="60">
        <f t="shared" si="857"/>
        <v>257.04407962300007</v>
      </c>
      <c r="AB285" s="60">
        <f t="shared" si="857"/>
        <v>436.69186899999983</v>
      </c>
      <c r="AC285" s="60">
        <f t="shared" si="857"/>
        <v>0</v>
      </c>
      <c r="AD285" s="60">
        <f t="shared" si="857"/>
        <v>0</v>
      </c>
      <c r="AE285" s="60">
        <f t="shared" si="857"/>
        <v>33.938223298000004</v>
      </c>
      <c r="AF285" s="60">
        <f t="shared" si="857"/>
        <v>0</v>
      </c>
      <c r="AG285" s="60">
        <f t="shared" si="857"/>
        <v>0</v>
      </c>
      <c r="AH285" s="60">
        <f>SUM(AH282:AH284)</f>
        <v>0</v>
      </c>
      <c r="AI285" s="60">
        <f t="shared" si="857"/>
        <v>447.12971538766004</v>
      </c>
      <c r="AK285" s="363">
        <f t="shared" ref="AK285:AL285" si="858">SUM(AK282:AK284)</f>
        <v>1671.0731925174073</v>
      </c>
      <c r="AL285" s="363">
        <f t="shared" si="858"/>
        <v>39.31534116600001</v>
      </c>
      <c r="AO285" s="386"/>
    </row>
    <row r="286" spans="2:46" ht="24.9" customHeight="1" x14ac:dyDescent="0.3">
      <c r="B286" s="18"/>
      <c r="C286" s="62"/>
      <c r="D286" s="18"/>
      <c r="E286" s="18"/>
      <c r="F286" s="18"/>
      <c r="G286" s="18"/>
      <c r="H286" s="18">
        <f>+D286</f>
        <v>0</v>
      </c>
      <c r="I286" s="21"/>
      <c r="J286" s="21"/>
      <c r="K286" s="21"/>
      <c r="L286" s="21"/>
      <c r="M286" s="21"/>
      <c r="N286" s="21">
        <f>+IF(D286=0.667,E286*F286*G286*H286*M286,0)</f>
        <v>0</v>
      </c>
      <c r="O286" s="21">
        <f>+IF(D286=0.333,E286*F286*G286*M286,0)</f>
        <v>0</v>
      </c>
      <c r="P286" s="225"/>
      <c r="Q286" s="21">
        <f>+IF(D286=0.667,E286*F286*G286*H286*P286,0)</f>
        <v>0</v>
      </c>
      <c r="R286" s="21">
        <f>+IF(D286=0.333,E286*F286*G286*P286,0)</f>
        <v>0</v>
      </c>
      <c r="S286" s="21">
        <f>+Q286+N286+K286</f>
        <v>0</v>
      </c>
      <c r="T286" s="21">
        <f>+R286+O286+L286</f>
        <v>0</v>
      </c>
      <c r="U286" s="18"/>
      <c r="W286" s="48"/>
      <c r="X286" s="48"/>
      <c r="Y286" s="48"/>
      <c r="Z286" s="166">
        <f>Z285+Y285</f>
        <v>145.0383773115</v>
      </c>
      <c r="AA286" s="48"/>
      <c r="AB286" s="48">
        <f>+AA285+AB285</f>
        <v>693.7359486229999</v>
      </c>
      <c r="AC286" s="48"/>
      <c r="AD286" s="48"/>
      <c r="AE286" s="48"/>
      <c r="AF286" s="166">
        <f>AF285</f>
        <v>0</v>
      </c>
      <c r="AG286" s="48"/>
      <c r="AH286" s="48"/>
      <c r="AI286" s="48"/>
      <c r="AK286" s="390" t="s">
        <v>65</v>
      </c>
      <c r="AL286" s="390" t="s">
        <v>103</v>
      </c>
    </row>
    <row r="287" spans="2:46" x14ac:dyDescent="0.3">
      <c r="V287" s="86"/>
      <c r="Z287" s="384">
        <f>+Z285/0.33</f>
        <v>1.8077863636363638</v>
      </c>
      <c r="AC287" s="86"/>
      <c r="AF287" s="88">
        <f>+AF286/0.17</f>
        <v>0</v>
      </c>
      <c r="AG287" s="86"/>
    </row>
    <row r="288" spans="2:46" x14ac:dyDescent="0.3">
      <c r="S288" s="106">
        <f>+S285+T285</f>
        <v>9638.4286207133919</v>
      </c>
    </row>
    <row r="289" spans="19:42" x14ac:dyDescent="0.3">
      <c r="AO289" s="106">
        <f>1.33+0.15</f>
        <v>1.48</v>
      </c>
    </row>
    <row r="290" spans="19:42" x14ac:dyDescent="0.3">
      <c r="S290" s="106">
        <f>+S275+T275</f>
        <v>9638.4286207133955</v>
      </c>
      <c r="AK290" s="392">
        <f>164/100*AK285</f>
        <v>2740.560035728548</v>
      </c>
      <c r="AL290" s="392">
        <f>108/100*AL285</f>
        <v>42.460568459280012</v>
      </c>
      <c r="AO290" s="106">
        <f>0.67+0.15</f>
        <v>0.82000000000000006</v>
      </c>
    </row>
    <row r="291" spans="19:42" x14ac:dyDescent="0.3">
      <c r="AO291" s="106">
        <v>0.67</v>
      </c>
    </row>
    <row r="292" spans="19:42" x14ac:dyDescent="0.3">
      <c r="AK292" s="28">
        <v>961</v>
      </c>
      <c r="AO292" s="106">
        <f>+AO289*AO290*AO291</f>
        <v>0.81311200000000006</v>
      </c>
      <c r="AP292" s="28">
        <f>+AK285/AO292</f>
        <v>2055.1574598793368</v>
      </c>
    </row>
  </sheetData>
  <mergeCells count="33">
    <mergeCell ref="AK3:AL3"/>
    <mergeCell ref="AM3:AN3"/>
    <mergeCell ref="AP3:AQ3"/>
    <mergeCell ref="AK280:AL280"/>
    <mergeCell ref="B2:I2"/>
    <mergeCell ref="B3:B4"/>
    <mergeCell ref="C3:C4"/>
    <mergeCell ref="D3:D4"/>
    <mergeCell ref="E3:F4"/>
    <mergeCell ref="G3:G4"/>
    <mergeCell ref="H3:H4"/>
    <mergeCell ref="I3:I4"/>
    <mergeCell ref="AA3:AB3"/>
    <mergeCell ref="AD3:AF3"/>
    <mergeCell ref="AH3:AI3"/>
    <mergeCell ref="B279:F279"/>
    <mergeCell ref="AA279:AB279"/>
    <mergeCell ref="J3:L3"/>
    <mergeCell ref="M3:O3"/>
    <mergeCell ref="P3:R3"/>
    <mergeCell ref="S3:T3"/>
    <mergeCell ref="U3:U4"/>
    <mergeCell ref="W3:Z3"/>
    <mergeCell ref="K279:L279"/>
    <mergeCell ref="N279:O279"/>
    <mergeCell ref="Q279:R279"/>
    <mergeCell ref="S279:T279"/>
    <mergeCell ref="Y279:Z279"/>
    <mergeCell ref="E280:F280"/>
    <mergeCell ref="W280:Z280"/>
    <mergeCell ref="AA280:AB280"/>
    <mergeCell ref="AD280:AF280"/>
    <mergeCell ref="AH280:AI280"/>
  </mergeCells>
  <printOptions horizontalCentered="1"/>
  <pageMargins left="0" right="0" top="0" bottom="0" header="0.3" footer="0.3"/>
  <pageSetup paperSize="9" scale="67" orientation="landscape" r:id="rId1"/>
  <ignoredErrors>
    <ignoredError sqref="E192 E51:F51 E65 F66 E59:F59 E73:F73 E76:F83 E85:F86 G138 E220 E228:F234 E221:E222 E105 E93:F104 E106:F109 F105"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T296"/>
  <sheetViews>
    <sheetView showGridLines="0" zoomScale="85" zoomScaleNormal="85" workbookViewId="0">
      <pane xSplit="22" ySplit="4" topLeftCell="Y270" activePane="bottomRight" state="frozen"/>
      <selection pane="topRight" activeCell="W1" sqref="W1"/>
      <selection pane="bottomLeft" activeCell="A5" sqref="A5"/>
      <selection pane="bottomRight" activeCell="Z285" sqref="Z285"/>
    </sheetView>
  </sheetViews>
  <sheetFormatPr defaultColWidth="9.109375" defaultRowHeight="14.4" x14ac:dyDescent="0.3"/>
  <cols>
    <col min="1" max="1" width="0.33203125" style="2" customWidth="1"/>
    <col min="2" max="2" width="3.109375" style="1" bestFit="1" customWidth="1"/>
    <col min="3" max="3" width="22" style="2" bestFit="1" customWidth="1"/>
    <col min="4" max="4" width="5.44140625" style="1" customWidth="1"/>
    <col min="5" max="6" width="3.5546875" style="1" customWidth="1"/>
    <col min="7" max="7" width="7.109375" style="1" bestFit="1" customWidth="1"/>
    <col min="8" max="8" width="5.44140625" style="1" customWidth="1"/>
    <col min="9" max="9" width="6.88671875" style="3" customWidth="1"/>
    <col min="10" max="10" width="6.6640625" style="3" customWidth="1"/>
    <col min="11" max="11" width="8.5546875" style="3" customWidth="1"/>
    <col min="12" max="12" width="8.88671875" style="3" customWidth="1"/>
    <col min="13" max="13" width="7.109375" style="3" customWidth="1"/>
    <col min="14" max="14" width="8.88671875" style="3" customWidth="1"/>
    <col min="15" max="15" width="9" style="3" customWidth="1"/>
    <col min="16" max="16" width="7.109375" style="3" customWidth="1"/>
    <col min="17" max="18" width="8.88671875" style="3" customWidth="1"/>
    <col min="19" max="19" width="10.33203125" style="3" customWidth="1"/>
    <col min="20" max="20" width="8.88671875" style="3" customWidth="1"/>
    <col min="21" max="21" width="5" style="1" customWidth="1"/>
    <col min="22" max="22" width="0.44140625" style="4" customWidth="1"/>
    <col min="23" max="23" width="7.6640625" style="5" customWidth="1"/>
    <col min="24" max="24" width="7.109375" style="5" customWidth="1"/>
    <col min="25" max="25" width="7.44140625" style="3" customWidth="1"/>
    <col min="26" max="26" width="7.44140625" style="5" customWidth="1"/>
    <col min="27" max="27" width="8.109375" style="5" customWidth="1"/>
    <col min="28" max="28" width="8.88671875" style="5" bestFit="1" customWidth="1"/>
    <col min="29" max="29" width="0.44140625" style="6" customWidth="1"/>
    <col min="30" max="30" width="7.109375" style="5" customWidth="1"/>
    <col min="31" max="31" width="6.88671875" style="5" customWidth="1"/>
    <col min="32" max="32" width="6.5546875" style="5" customWidth="1"/>
    <col min="33" max="33" width="0.44140625" style="6" customWidth="1"/>
    <col min="34" max="34" width="4.88671875" style="5" customWidth="1"/>
    <col min="35" max="35" width="7.44140625" style="5" customWidth="1"/>
    <col min="36" max="36" width="9.109375" style="2"/>
    <col min="37" max="37" width="11.6640625" style="2" bestFit="1" customWidth="1"/>
    <col min="38" max="38" width="8.88671875" style="2" bestFit="1" customWidth="1"/>
    <col min="39" max="40" width="7.6640625" style="2" bestFit="1" customWidth="1"/>
    <col min="41" max="41" width="11.88671875" style="3" customWidth="1"/>
    <col min="42" max="42" width="11.6640625" style="2" bestFit="1" customWidth="1"/>
    <col min="43" max="43" width="7.6640625" style="2" bestFit="1" customWidth="1"/>
    <col min="44" max="45" width="9.109375" style="2"/>
    <col min="46" max="46" width="9.6640625" style="2" bestFit="1" customWidth="1"/>
    <col min="47" max="48" width="9.109375" style="2"/>
    <col min="49" max="49" width="11.6640625" style="2" bestFit="1" customWidth="1"/>
    <col min="50" max="16384" width="9.109375" style="2"/>
  </cols>
  <sheetData>
    <row r="1" spans="2:46" ht="7.5" customHeight="1" x14ac:dyDescent="0.3"/>
    <row r="2" spans="2:46" ht="20.100000000000001" customHeight="1" x14ac:dyDescent="0.3">
      <c r="B2" s="795" t="s">
        <v>434</v>
      </c>
      <c r="C2" s="795"/>
      <c r="D2" s="795"/>
      <c r="E2" s="795"/>
      <c r="F2" s="795"/>
      <c r="G2" s="795"/>
      <c r="H2" s="795"/>
      <c r="I2" s="795"/>
      <c r="J2" s="80"/>
      <c r="K2" s="7"/>
      <c r="L2" s="7"/>
      <c r="M2" s="7"/>
      <c r="N2" s="7"/>
      <c r="O2" s="7"/>
      <c r="P2" s="7"/>
      <c r="Q2" s="7"/>
      <c r="R2" s="7"/>
      <c r="S2" s="7"/>
      <c r="T2" s="7"/>
      <c r="U2" s="7"/>
    </row>
    <row r="3" spans="2:46" ht="28.5" customHeight="1" x14ac:dyDescent="0.3">
      <c r="B3" s="790" t="s">
        <v>0</v>
      </c>
      <c r="C3" s="790" t="s">
        <v>1</v>
      </c>
      <c r="D3" s="790" t="s">
        <v>2</v>
      </c>
      <c r="E3" s="790" t="s">
        <v>3</v>
      </c>
      <c r="F3" s="790"/>
      <c r="G3" s="790" t="s">
        <v>4</v>
      </c>
      <c r="H3" s="790" t="s">
        <v>5</v>
      </c>
      <c r="I3" s="787" t="s">
        <v>6</v>
      </c>
      <c r="J3" s="790" t="s">
        <v>7</v>
      </c>
      <c r="K3" s="790"/>
      <c r="L3" s="790"/>
      <c r="M3" s="787" t="s">
        <v>8</v>
      </c>
      <c r="N3" s="787"/>
      <c r="O3" s="787"/>
      <c r="P3" s="787" t="s">
        <v>9</v>
      </c>
      <c r="Q3" s="787"/>
      <c r="R3" s="787"/>
      <c r="S3" s="787" t="s">
        <v>10</v>
      </c>
      <c r="T3" s="787"/>
      <c r="U3" s="790" t="s">
        <v>11</v>
      </c>
      <c r="V3" s="8"/>
      <c r="W3" s="787" t="s">
        <v>12</v>
      </c>
      <c r="X3" s="787"/>
      <c r="Y3" s="787"/>
      <c r="Z3" s="787"/>
      <c r="AA3" s="787" t="s">
        <v>13</v>
      </c>
      <c r="AB3" s="787"/>
      <c r="AC3" s="9"/>
      <c r="AD3" s="787" t="s">
        <v>14</v>
      </c>
      <c r="AE3" s="787"/>
      <c r="AF3" s="787"/>
      <c r="AG3" s="9"/>
      <c r="AH3" s="787" t="s">
        <v>15</v>
      </c>
      <c r="AI3" s="787"/>
      <c r="AK3" s="788" t="s">
        <v>310</v>
      </c>
      <c r="AL3" s="788"/>
      <c r="AM3" s="788" t="s">
        <v>311</v>
      </c>
      <c r="AN3" s="788"/>
      <c r="AO3" s="356" t="s">
        <v>312</v>
      </c>
      <c r="AP3" s="788" t="s">
        <v>314</v>
      </c>
      <c r="AQ3" s="788"/>
    </row>
    <row r="4" spans="2:46" ht="20.25" customHeight="1" x14ac:dyDescent="0.3">
      <c r="B4" s="790"/>
      <c r="C4" s="790"/>
      <c r="D4" s="790"/>
      <c r="E4" s="790"/>
      <c r="F4" s="790"/>
      <c r="G4" s="790"/>
      <c r="H4" s="790"/>
      <c r="I4" s="787"/>
      <c r="J4" s="78" t="s">
        <v>16</v>
      </c>
      <c r="K4" s="314" t="s">
        <v>17</v>
      </c>
      <c r="L4" s="314" t="s">
        <v>18</v>
      </c>
      <c r="M4" s="314" t="s">
        <v>16</v>
      </c>
      <c r="N4" s="314" t="s">
        <v>17</v>
      </c>
      <c r="O4" s="314" t="s">
        <v>18</v>
      </c>
      <c r="P4" s="314" t="s">
        <v>16</v>
      </c>
      <c r="Q4" s="314" t="s">
        <v>17</v>
      </c>
      <c r="R4" s="314" t="s">
        <v>18</v>
      </c>
      <c r="S4" s="314" t="s">
        <v>17</v>
      </c>
      <c r="T4" s="314" t="s">
        <v>18</v>
      </c>
      <c r="U4" s="790"/>
      <c r="V4" s="8"/>
      <c r="W4" s="314" t="s">
        <v>4</v>
      </c>
      <c r="X4" s="314" t="s">
        <v>16</v>
      </c>
      <c r="Y4" s="314" t="s">
        <v>19</v>
      </c>
      <c r="Z4" s="314" t="s">
        <v>20</v>
      </c>
      <c r="AA4" s="314" t="s">
        <v>21</v>
      </c>
      <c r="AB4" s="314" t="s">
        <v>22</v>
      </c>
      <c r="AC4" s="9"/>
      <c r="AD4" s="314" t="s">
        <v>16</v>
      </c>
      <c r="AE4" s="314" t="s">
        <v>19</v>
      </c>
      <c r="AF4" s="314" t="s">
        <v>20</v>
      </c>
      <c r="AG4" s="9"/>
      <c r="AH4" s="314" t="s">
        <v>3</v>
      </c>
      <c r="AI4" s="314" t="s">
        <v>23</v>
      </c>
      <c r="AK4" s="356" t="s">
        <v>19</v>
      </c>
      <c r="AL4" s="356" t="s">
        <v>20</v>
      </c>
      <c r="AM4" s="356" t="s">
        <v>19</v>
      </c>
      <c r="AN4" s="356" t="s">
        <v>20</v>
      </c>
      <c r="AO4" s="356" t="s">
        <v>20</v>
      </c>
      <c r="AP4" s="356" t="s">
        <v>19</v>
      </c>
      <c r="AQ4" s="356" t="s">
        <v>20</v>
      </c>
    </row>
    <row r="5" spans="2:46" s="28" customFormat="1" ht="20.100000000000001" customHeight="1" x14ac:dyDescent="0.3">
      <c r="B5" s="422">
        <v>1</v>
      </c>
      <c r="C5" s="436" t="s">
        <v>391</v>
      </c>
      <c r="D5" s="18"/>
      <c r="E5" s="18"/>
      <c r="F5" s="18"/>
      <c r="G5" s="18"/>
      <c r="H5" s="18"/>
      <c r="I5" s="21"/>
      <c r="J5" s="81"/>
      <c r="K5" s="103"/>
      <c r="L5" s="103"/>
      <c r="M5" s="81"/>
      <c r="N5" s="103"/>
      <c r="O5" s="103"/>
      <c r="P5" s="81"/>
      <c r="Q5" s="103"/>
      <c r="R5" s="103"/>
      <c r="S5" s="104"/>
      <c r="T5" s="104"/>
      <c r="U5" s="18"/>
      <c r="V5" s="26"/>
      <c r="W5" s="21"/>
      <c r="X5" s="21"/>
      <c r="Y5" s="21"/>
      <c r="Z5" s="21"/>
      <c r="AA5" s="21"/>
      <c r="AB5" s="21"/>
      <c r="AC5" s="27"/>
      <c r="AD5" s="225"/>
      <c r="AE5" s="225"/>
      <c r="AF5" s="225"/>
      <c r="AG5" s="27"/>
      <c r="AH5" s="423"/>
      <c r="AI5" s="225"/>
      <c r="AK5" s="301"/>
      <c r="AL5" s="301"/>
      <c r="AM5" s="301"/>
      <c r="AN5" s="301"/>
      <c r="AO5" s="299"/>
      <c r="AP5" s="301"/>
      <c r="AQ5" s="301"/>
    </row>
    <row r="6" spans="2:46" s="28" customFormat="1" ht="20.100000000000001" customHeight="1" x14ac:dyDescent="0.3">
      <c r="B6" s="437"/>
      <c r="C6" s="97" t="s">
        <v>373</v>
      </c>
      <c r="D6" s="369"/>
      <c r="E6" s="369"/>
      <c r="F6" s="369"/>
      <c r="G6" s="369"/>
      <c r="H6" s="369"/>
      <c r="I6" s="374"/>
      <c r="J6" s="397"/>
      <c r="K6" s="398"/>
      <c r="L6" s="398"/>
      <c r="M6" s="397"/>
      <c r="N6" s="398"/>
      <c r="O6" s="398"/>
      <c r="P6" s="397"/>
      <c r="Q6" s="398"/>
      <c r="R6" s="398"/>
      <c r="S6" s="399"/>
      <c r="T6" s="399"/>
      <c r="U6" s="369"/>
      <c r="V6" s="373"/>
      <c r="W6" s="374"/>
      <c r="X6" s="374"/>
      <c r="Y6" s="374"/>
      <c r="Z6" s="374"/>
      <c r="AA6" s="374"/>
      <c r="AB6" s="374"/>
      <c r="AC6" s="400"/>
      <c r="AD6" s="378"/>
      <c r="AE6" s="378"/>
      <c r="AF6" s="378"/>
      <c r="AG6" s="400"/>
      <c r="AH6" s="438"/>
      <c r="AI6" s="378"/>
      <c r="AK6" s="378"/>
      <c r="AL6" s="378"/>
      <c r="AM6" s="378"/>
      <c r="AN6" s="378"/>
      <c r="AO6" s="374"/>
      <c r="AP6" s="378"/>
      <c r="AQ6" s="378"/>
    </row>
    <row r="7" spans="2:46" s="28" customFormat="1" ht="19.5" customHeight="1" x14ac:dyDescent="0.3">
      <c r="B7" s="18"/>
      <c r="C7" s="62" t="s">
        <v>33</v>
      </c>
      <c r="D7" s="298">
        <v>0.66700000000000004</v>
      </c>
      <c r="E7" s="18">
        <v>1</v>
      </c>
      <c r="F7" s="18">
        <v>1</v>
      </c>
      <c r="G7" s="555">
        <f>(5.772+3.11)*3.281</f>
        <v>29.141842</v>
      </c>
      <c r="H7" s="20">
        <f t="shared" ref="H7:H11" si="0">+D7</f>
        <v>0.66700000000000004</v>
      </c>
      <c r="I7" s="224">
        <f>18/12</f>
        <v>1.5</v>
      </c>
      <c r="J7" s="81">
        <f>3</f>
        <v>3</v>
      </c>
      <c r="K7" s="103">
        <f t="shared" ref="K7:K11" si="1">+IF(D7=0.667,E7*F7*G7*H7*J7,0)</f>
        <v>58.312825842000009</v>
      </c>
      <c r="L7" s="103">
        <f t="shared" ref="L7:L11" si="2">+IF(D7=0.333,E7*F7*G7*J7,0)</f>
        <v>0</v>
      </c>
      <c r="M7" s="81">
        <v>4</v>
      </c>
      <c r="N7" s="103">
        <f t="shared" ref="N7:N11" si="3">+IF(D7=0.667,E7*F7*G7*H7*M7,0)</f>
        <v>77.750434456000008</v>
      </c>
      <c r="O7" s="103">
        <f t="shared" ref="O7:O11" si="4">+IF(D7=0.333,E7*F7*G7*M7,0)</f>
        <v>0</v>
      </c>
      <c r="P7" s="81">
        <f>11.833-I7-M7-J7</f>
        <v>3.3330000000000002</v>
      </c>
      <c r="Q7" s="103">
        <f t="shared" ref="Q7:Q11" si="5">+IF(D7=0.667,E7*F7*G7*H7*P7,0)</f>
        <v>64.785549510462005</v>
      </c>
      <c r="R7" s="103">
        <f t="shared" ref="R7:R11" si="6">+IF(D7=0.333,E7*F7*G7*P7,0)</f>
        <v>0</v>
      </c>
      <c r="S7" s="104">
        <f t="shared" ref="S7:T11" si="7">+Q7+N7+K7</f>
        <v>200.84880980846202</v>
      </c>
      <c r="T7" s="104">
        <f t="shared" si="7"/>
        <v>0</v>
      </c>
      <c r="U7" s="18"/>
      <c r="V7" s="26"/>
      <c r="W7" s="21"/>
      <c r="X7" s="21"/>
      <c r="Y7" s="21"/>
      <c r="Z7" s="21"/>
      <c r="AA7" s="21"/>
      <c r="AB7" s="21"/>
      <c r="AC7" s="27"/>
      <c r="AD7" s="21"/>
      <c r="AE7" s="21"/>
      <c r="AF7" s="21"/>
      <c r="AG7" s="27"/>
      <c r="AH7" s="396">
        <v>1</v>
      </c>
      <c r="AI7" s="21">
        <f t="shared" ref="AI7:AI11" si="8">+AH7*G7*D7*0.17</f>
        <v>3.3043934643800004</v>
      </c>
      <c r="AK7" s="301">
        <f>+IF(D7=0.667,E7*F7*G7,0)</f>
        <v>29.141842</v>
      </c>
      <c r="AL7" s="301">
        <f>+IF(D7=0.333,E7*F7*G7,0)</f>
        <v>0</v>
      </c>
      <c r="AM7" s="301"/>
      <c r="AN7" s="301"/>
      <c r="AO7" s="299"/>
      <c r="AP7" s="301"/>
      <c r="AQ7" s="301"/>
      <c r="AT7" s="28">
        <f>+E7*F7*G7</f>
        <v>29.141842</v>
      </c>
    </row>
    <row r="8" spans="2:46" s="28" customFormat="1" ht="20.100000000000001" customHeight="1" x14ac:dyDescent="0.3">
      <c r="B8" s="18"/>
      <c r="C8" s="62" t="s">
        <v>374</v>
      </c>
      <c r="D8" s="298">
        <v>0.66700000000000004</v>
      </c>
      <c r="E8" s="18">
        <v>-1</v>
      </c>
      <c r="F8" s="18">
        <v>1</v>
      </c>
      <c r="G8" s="556">
        <v>7</v>
      </c>
      <c r="H8" s="20">
        <f t="shared" si="0"/>
        <v>0.66700000000000004</v>
      </c>
      <c r="I8" s="21"/>
      <c r="J8" s="81">
        <f>3</f>
        <v>3</v>
      </c>
      <c r="K8" s="103">
        <f t="shared" si="1"/>
        <v>-14.007000000000001</v>
      </c>
      <c r="L8" s="103">
        <f t="shared" si="2"/>
        <v>0</v>
      </c>
      <c r="M8" s="81">
        <v>4</v>
      </c>
      <c r="N8" s="103">
        <f t="shared" si="3"/>
        <v>-18.676000000000002</v>
      </c>
      <c r="O8" s="103">
        <f t="shared" si="4"/>
        <v>0</v>
      </c>
      <c r="P8" s="81">
        <v>1</v>
      </c>
      <c r="Q8" s="103">
        <f t="shared" si="5"/>
        <v>-4.6690000000000005</v>
      </c>
      <c r="R8" s="103">
        <f t="shared" si="6"/>
        <v>0</v>
      </c>
      <c r="S8" s="104">
        <f t="shared" si="7"/>
        <v>-37.352000000000004</v>
      </c>
      <c r="T8" s="104">
        <f t="shared" si="7"/>
        <v>0</v>
      </c>
      <c r="U8" s="18"/>
      <c r="V8" s="26"/>
      <c r="W8" s="21">
        <f>+G8+D8</f>
        <v>7.6669999999999998</v>
      </c>
      <c r="X8" s="21">
        <v>0.5</v>
      </c>
      <c r="Y8" s="21">
        <f>+IF(D8=0.667,-E8*F8*H8*W8*X8,0)</f>
        <v>2.5569445000000002</v>
      </c>
      <c r="Z8" s="21">
        <f>+IF(D8=0.333,-E8*F8*H8*W8*X8,0)</f>
        <v>0</v>
      </c>
      <c r="AA8" s="21">
        <f>+F8*G8*H8</f>
        <v>4.6690000000000005</v>
      </c>
      <c r="AB8" s="21">
        <f t="shared" ref="AB8:AB11" si="9">2*F8*W8*X8</f>
        <v>7.6669999999999998</v>
      </c>
      <c r="AC8" s="27"/>
      <c r="AD8" s="21">
        <v>0.16700000000000001</v>
      </c>
      <c r="AE8" s="21">
        <f t="shared" ref="AE8:AE11" si="10">+IF(D8=0.667,AD8*W8*H8*F8,0)</f>
        <v>0.85401946300000009</v>
      </c>
      <c r="AF8" s="21">
        <f t="shared" ref="AF8:AF11" si="11">+IF(D8=0.333,AD8*W8*H8*F8,0)</f>
        <v>0</v>
      </c>
      <c r="AG8" s="27"/>
      <c r="AH8" s="396"/>
      <c r="AI8" s="21">
        <f t="shared" si="8"/>
        <v>0</v>
      </c>
      <c r="AK8" s="301"/>
      <c r="AL8" s="301">
        <f t="shared" ref="AL8:AL11" si="12">+IF(D8=0.333,E8*F8*G8,0)</f>
        <v>0</v>
      </c>
      <c r="AM8" s="301">
        <f>+IF(D8=0.667,1.33,0)</f>
        <v>1.33</v>
      </c>
      <c r="AN8" s="301">
        <f>+IF(D8=0.333,1,0)</f>
        <v>0</v>
      </c>
      <c r="AO8" s="299"/>
      <c r="AP8" s="301"/>
      <c r="AQ8" s="301"/>
      <c r="AT8" s="28">
        <f t="shared" ref="AT8:AT71" si="13">+E8*F8*G8</f>
        <v>-7</v>
      </c>
    </row>
    <row r="9" spans="2:46" s="28" customFormat="1" ht="19.5" customHeight="1" x14ac:dyDescent="0.3">
      <c r="B9" s="18"/>
      <c r="C9" s="62" t="s">
        <v>31</v>
      </c>
      <c r="D9" s="298">
        <v>0.66700000000000004</v>
      </c>
      <c r="E9" s="18">
        <v>1</v>
      </c>
      <c r="F9" s="18">
        <v>1</v>
      </c>
      <c r="G9" s="556">
        <f>+(2.035)*3.281</f>
        <v>6.6768350000000005</v>
      </c>
      <c r="H9" s="20">
        <f t="shared" si="0"/>
        <v>0.66700000000000004</v>
      </c>
      <c r="I9" s="21">
        <f>18/12</f>
        <v>1.5</v>
      </c>
      <c r="J9" s="81">
        <v>3</v>
      </c>
      <c r="K9" s="103">
        <f t="shared" si="1"/>
        <v>13.360346835000001</v>
      </c>
      <c r="L9" s="103">
        <f t="shared" si="2"/>
        <v>0</v>
      </c>
      <c r="M9" s="81">
        <v>4</v>
      </c>
      <c r="N9" s="103">
        <f t="shared" si="3"/>
        <v>17.813795780000003</v>
      </c>
      <c r="O9" s="103">
        <f t="shared" si="4"/>
        <v>0</v>
      </c>
      <c r="P9" s="81">
        <f>11.833-I9-M9-J9</f>
        <v>3.3330000000000002</v>
      </c>
      <c r="Q9" s="103">
        <f t="shared" si="5"/>
        <v>14.843345333685003</v>
      </c>
      <c r="R9" s="103">
        <f t="shared" si="6"/>
        <v>0</v>
      </c>
      <c r="S9" s="104">
        <f t="shared" si="7"/>
        <v>46.017487948685009</v>
      </c>
      <c r="T9" s="104">
        <f t="shared" si="7"/>
        <v>0</v>
      </c>
      <c r="U9" s="18"/>
      <c r="V9" s="26"/>
      <c r="W9" s="21"/>
      <c r="X9" s="21"/>
      <c r="Y9" s="21"/>
      <c r="Z9" s="21"/>
      <c r="AA9" s="21"/>
      <c r="AB9" s="21">
        <f t="shared" si="9"/>
        <v>0</v>
      </c>
      <c r="AC9" s="27"/>
      <c r="AD9" s="21"/>
      <c r="AE9" s="21">
        <f t="shared" si="10"/>
        <v>0</v>
      </c>
      <c r="AF9" s="21">
        <f t="shared" si="11"/>
        <v>0</v>
      </c>
      <c r="AG9" s="27"/>
      <c r="AH9" s="396">
        <v>1</v>
      </c>
      <c r="AI9" s="21">
        <f t="shared" si="8"/>
        <v>0.75708632065000014</v>
      </c>
      <c r="AK9" s="301">
        <f>+IF(D9=0.667,E9*F9*G9,0)</f>
        <v>6.6768350000000005</v>
      </c>
      <c r="AL9" s="301"/>
      <c r="AM9" s="301"/>
      <c r="AN9" s="301"/>
      <c r="AO9" s="299"/>
      <c r="AP9" s="301"/>
      <c r="AQ9" s="301"/>
      <c r="AT9" s="28">
        <f t="shared" si="13"/>
        <v>6.6768350000000005</v>
      </c>
    </row>
    <row r="10" spans="2:46" s="28" customFormat="1" ht="19.5" customHeight="1" x14ac:dyDescent="0.3">
      <c r="B10" s="18"/>
      <c r="C10" s="62" t="s">
        <v>38</v>
      </c>
      <c r="D10" s="298">
        <v>0.66700000000000004</v>
      </c>
      <c r="E10" s="18">
        <f>1*0</f>
        <v>0</v>
      </c>
      <c r="F10" s="18">
        <f>1*0</f>
        <v>0</v>
      </c>
      <c r="G10" s="20">
        <f>+(5.073)*3.281</f>
        <v>16.644513000000003</v>
      </c>
      <c r="H10" s="20">
        <f t="shared" si="0"/>
        <v>0.66700000000000004</v>
      </c>
      <c r="I10" s="21">
        <f>18/12</f>
        <v>1.5</v>
      </c>
      <c r="J10" s="81">
        <v>3</v>
      </c>
      <c r="K10" s="103">
        <f t="shared" si="1"/>
        <v>0</v>
      </c>
      <c r="L10" s="103">
        <f t="shared" si="2"/>
        <v>0</v>
      </c>
      <c r="M10" s="81">
        <v>4</v>
      </c>
      <c r="N10" s="103">
        <f t="shared" si="3"/>
        <v>0</v>
      </c>
      <c r="O10" s="103">
        <f t="shared" si="4"/>
        <v>0</v>
      </c>
      <c r="P10" s="81">
        <f>11.833-I10-M10-J10</f>
        <v>3.3330000000000002</v>
      </c>
      <c r="Q10" s="103">
        <f t="shared" si="5"/>
        <v>0</v>
      </c>
      <c r="R10" s="103">
        <f t="shared" si="6"/>
        <v>0</v>
      </c>
      <c r="S10" s="104">
        <f t="shared" si="7"/>
        <v>0</v>
      </c>
      <c r="T10" s="104">
        <f t="shared" si="7"/>
        <v>0</v>
      </c>
      <c r="U10" s="18"/>
      <c r="V10" s="26"/>
      <c r="W10" s="21"/>
      <c r="X10" s="21"/>
      <c r="Y10" s="21"/>
      <c r="Z10" s="21"/>
      <c r="AA10" s="21"/>
      <c r="AB10" s="21">
        <f t="shared" si="9"/>
        <v>0</v>
      </c>
      <c r="AC10" s="27"/>
      <c r="AD10" s="21"/>
      <c r="AE10" s="21">
        <f t="shared" si="10"/>
        <v>0</v>
      </c>
      <c r="AF10" s="21">
        <f t="shared" si="11"/>
        <v>0</v>
      </c>
      <c r="AG10" s="27"/>
      <c r="AH10" s="396">
        <v>1</v>
      </c>
      <c r="AI10" s="21">
        <f t="shared" si="8"/>
        <v>1.8873213290700006</v>
      </c>
      <c r="AK10" s="301">
        <f>+IF(D10=0.667,E10*F10*G10,0)</f>
        <v>0</v>
      </c>
      <c r="AL10" s="301"/>
      <c r="AM10" s="301"/>
      <c r="AN10" s="301"/>
      <c r="AO10" s="299"/>
      <c r="AP10" s="301"/>
      <c r="AQ10" s="301"/>
      <c r="AT10" s="28">
        <f t="shared" si="13"/>
        <v>0</v>
      </c>
    </row>
    <row r="11" spans="2:46" s="28" customFormat="1" ht="20.100000000000001" customHeight="1" x14ac:dyDescent="0.3">
      <c r="B11" s="18"/>
      <c r="C11" s="62" t="s">
        <v>355</v>
      </c>
      <c r="D11" s="298">
        <v>0.66700000000000004</v>
      </c>
      <c r="E11" s="18">
        <f>-1*0</f>
        <v>0</v>
      </c>
      <c r="F11" s="18">
        <f>1*0</f>
        <v>0</v>
      </c>
      <c r="G11" s="20">
        <f>+(5.073)*3.281</f>
        <v>16.644513000000003</v>
      </c>
      <c r="H11" s="20">
        <f t="shared" si="0"/>
        <v>0.66700000000000004</v>
      </c>
      <c r="I11" s="21">
        <f>18/12</f>
        <v>1.5</v>
      </c>
      <c r="J11" s="81">
        <v>3</v>
      </c>
      <c r="K11" s="103">
        <f t="shared" si="1"/>
        <v>0</v>
      </c>
      <c r="L11" s="103">
        <f t="shared" si="2"/>
        <v>0</v>
      </c>
      <c r="M11" s="81">
        <v>4</v>
      </c>
      <c r="N11" s="103">
        <f t="shared" si="3"/>
        <v>0</v>
      </c>
      <c r="O11" s="103">
        <f t="shared" si="4"/>
        <v>0</v>
      </c>
      <c r="P11" s="81">
        <f>11.833-I11-M11-J11</f>
        <v>3.3330000000000002</v>
      </c>
      <c r="Q11" s="103">
        <f t="shared" si="5"/>
        <v>0</v>
      </c>
      <c r="R11" s="103">
        <f t="shared" si="6"/>
        <v>0</v>
      </c>
      <c r="S11" s="104">
        <f t="shared" si="7"/>
        <v>0</v>
      </c>
      <c r="T11" s="104">
        <f t="shared" si="7"/>
        <v>0</v>
      </c>
      <c r="U11" s="18"/>
      <c r="V11" s="26"/>
      <c r="W11" s="21">
        <f>+G11+D11</f>
        <v>17.311513000000005</v>
      </c>
      <c r="X11" s="21">
        <v>0.5</v>
      </c>
      <c r="Y11" s="21">
        <f>+IF(D11=0.667,-E11*F11*H11*W11*X11,0)</f>
        <v>0</v>
      </c>
      <c r="Z11" s="21">
        <f>+IF(D11=0.333,-E11*F11*H11*W11*X11,0)</f>
        <v>0</v>
      </c>
      <c r="AA11" s="21">
        <f>+F11*G11*H11</f>
        <v>0</v>
      </c>
      <c r="AB11" s="21">
        <f t="shared" si="9"/>
        <v>0</v>
      </c>
      <c r="AC11" s="27"/>
      <c r="AD11" s="21">
        <v>0.16700000000000001</v>
      </c>
      <c r="AE11" s="21">
        <f t="shared" si="10"/>
        <v>0</v>
      </c>
      <c r="AF11" s="21">
        <f t="shared" si="11"/>
        <v>0</v>
      </c>
      <c r="AG11" s="27"/>
      <c r="AH11" s="396"/>
      <c r="AI11" s="21">
        <f t="shared" si="8"/>
        <v>0</v>
      </c>
      <c r="AK11" s="301"/>
      <c r="AL11" s="301">
        <f t="shared" si="12"/>
        <v>0</v>
      </c>
      <c r="AM11" s="301"/>
      <c r="AN11" s="301"/>
      <c r="AO11" s="299"/>
      <c r="AP11" s="301"/>
      <c r="AQ11" s="301"/>
      <c r="AT11" s="28">
        <f t="shared" si="13"/>
        <v>0</v>
      </c>
    </row>
    <row r="12" spans="2:46" s="28" customFormat="1" ht="20.100000000000001" customHeight="1" x14ac:dyDescent="0.3">
      <c r="B12" s="369"/>
      <c r="C12" s="370"/>
      <c r="D12" s="371"/>
      <c r="E12" s="369"/>
      <c r="F12" s="369"/>
      <c r="G12" s="371"/>
      <c r="H12" s="371"/>
      <c r="I12" s="374"/>
      <c r="J12" s="397"/>
      <c r="K12" s="398"/>
      <c r="L12" s="398"/>
      <c r="M12" s="397"/>
      <c r="N12" s="398"/>
      <c r="O12" s="398"/>
      <c r="P12" s="397"/>
      <c r="Q12" s="398"/>
      <c r="R12" s="398"/>
      <c r="S12" s="399"/>
      <c r="T12" s="399"/>
      <c r="U12" s="369"/>
      <c r="V12" s="373"/>
      <c r="W12" s="374"/>
      <c r="X12" s="374"/>
      <c r="Y12" s="374"/>
      <c r="Z12" s="374"/>
      <c r="AA12" s="374"/>
      <c r="AB12" s="374"/>
      <c r="AC12" s="400"/>
      <c r="AD12" s="374"/>
      <c r="AE12" s="374"/>
      <c r="AF12" s="374"/>
      <c r="AG12" s="400"/>
      <c r="AH12" s="401"/>
      <c r="AI12" s="374"/>
      <c r="AK12" s="378"/>
      <c r="AL12" s="378"/>
      <c r="AM12" s="378"/>
      <c r="AN12" s="378"/>
      <c r="AO12" s="374"/>
      <c r="AP12" s="378"/>
      <c r="AQ12" s="378"/>
      <c r="AT12" s="28">
        <f t="shared" si="13"/>
        <v>0</v>
      </c>
    </row>
    <row r="13" spans="2:46" s="28" customFormat="1" ht="20.100000000000001" customHeight="1" x14ac:dyDescent="0.3">
      <c r="B13" s="437"/>
      <c r="C13" s="97" t="s">
        <v>379</v>
      </c>
      <c r="D13" s="369"/>
      <c r="E13" s="369"/>
      <c r="F13" s="369"/>
      <c r="G13" s="369"/>
      <c r="H13" s="369"/>
      <c r="I13" s="374"/>
      <c r="J13" s="397"/>
      <c r="K13" s="398"/>
      <c r="L13" s="398"/>
      <c r="M13" s="397"/>
      <c r="N13" s="398"/>
      <c r="O13" s="398"/>
      <c r="P13" s="397"/>
      <c r="Q13" s="398"/>
      <c r="R13" s="398"/>
      <c r="S13" s="399"/>
      <c r="T13" s="399"/>
      <c r="U13" s="369"/>
      <c r="V13" s="373"/>
      <c r="W13" s="374"/>
      <c r="X13" s="374"/>
      <c r="Y13" s="374"/>
      <c r="Z13" s="374"/>
      <c r="AA13" s="374"/>
      <c r="AB13" s="374"/>
      <c r="AC13" s="400"/>
      <c r="AD13" s="378"/>
      <c r="AE13" s="378"/>
      <c r="AF13" s="378"/>
      <c r="AG13" s="400"/>
      <c r="AH13" s="438"/>
      <c r="AI13" s="378"/>
      <c r="AK13" s="378"/>
      <c r="AL13" s="378"/>
      <c r="AM13" s="378"/>
      <c r="AN13" s="378"/>
      <c r="AO13" s="374"/>
      <c r="AP13" s="378"/>
      <c r="AQ13" s="378"/>
      <c r="AT13" s="28">
        <f t="shared" si="13"/>
        <v>0</v>
      </c>
    </row>
    <row r="14" spans="2:46" s="28" customFormat="1" ht="19.5" customHeight="1" x14ac:dyDescent="0.3">
      <c r="B14" s="18"/>
      <c r="C14" s="62" t="s">
        <v>31</v>
      </c>
      <c r="D14" s="298">
        <v>0.66700000000000004</v>
      </c>
      <c r="E14" s="18">
        <v>1</v>
      </c>
      <c r="F14" s="18">
        <v>1</v>
      </c>
      <c r="G14" s="556">
        <f>+(2.55+1.02)*3.281</f>
        <v>11.71317</v>
      </c>
      <c r="H14" s="20">
        <f t="shared" ref="H14:H15" si="14">+D14</f>
        <v>0.66700000000000004</v>
      </c>
      <c r="I14" s="224">
        <f>18/12</f>
        <v>1.5</v>
      </c>
      <c r="J14" s="81">
        <f>3</f>
        <v>3</v>
      </c>
      <c r="K14" s="103">
        <f t="shared" ref="K14:K15" si="15">+IF(D14=0.667,E14*F14*G14*H14*J14,0)</f>
        <v>23.43805317</v>
      </c>
      <c r="L14" s="103">
        <f t="shared" ref="L14:L15" si="16">+IF(D14=0.333,E14*F14*G14*J14,0)</f>
        <v>0</v>
      </c>
      <c r="M14" s="81">
        <v>4</v>
      </c>
      <c r="N14" s="103">
        <f t="shared" ref="N14:N15" si="17">+IF(D14=0.667,E14*F14*G14*H14*M14,0)</f>
        <v>31.250737560000001</v>
      </c>
      <c r="O14" s="103">
        <f t="shared" ref="O14:O15" si="18">+IF(D14=0.333,E14*F14*G14*M14,0)</f>
        <v>0</v>
      </c>
      <c r="P14" s="81">
        <f>11.833-I14-M14-J14</f>
        <v>3.3330000000000002</v>
      </c>
      <c r="Q14" s="103">
        <f t="shared" ref="Q14:Q15" si="19">+IF(D14=0.667,E14*F14*G14*H14*P14,0)</f>
        <v>26.039677071870003</v>
      </c>
      <c r="R14" s="103">
        <f t="shared" ref="R14:R15" si="20">+IF(D14=0.333,E14*F14*G14*P14,0)</f>
        <v>0</v>
      </c>
      <c r="S14" s="104">
        <f t="shared" ref="S14:T15" si="21">+Q14+N14+K14</f>
        <v>80.728467801870011</v>
      </c>
      <c r="T14" s="104">
        <f t="shared" si="21"/>
        <v>0</v>
      </c>
      <c r="U14" s="18"/>
      <c r="V14" s="26"/>
      <c r="W14" s="21"/>
      <c r="X14" s="21"/>
      <c r="Y14" s="21"/>
      <c r="Z14" s="21"/>
      <c r="AA14" s="21"/>
      <c r="AB14" s="21"/>
      <c r="AC14" s="27"/>
      <c r="AD14" s="21"/>
      <c r="AE14" s="21"/>
      <c r="AF14" s="21"/>
      <c r="AG14" s="27"/>
      <c r="AH14" s="396">
        <v>1</v>
      </c>
      <c r="AI14" s="21">
        <f t="shared" ref="AI14:AI15" si="22">+AH14*G14*D14*0.17</f>
        <v>1.3281563463000001</v>
      </c>
      <c r="AK14" s="301">
        <f>+IF(D14=0.667,E14*F14*G14,0)</f>
        <v>11.71317</v>
      </c>
      <c r="AL14" s="301">
        <f>+IF(D14=0.333,E14*F14*G14,0)</f>
        <v>0</v>
      </c>
      <c r="AM14" s="301"/>
      <c r="AN14" s="301"/>
      <c r="AO14" s="299"/>
      <c r="AP14" s="301"/>
      <c r="AQ14" s="301"/>
      <c r="AT14" s="28">
        <f t="shared" si="13"/>
        <v>11.71317</v>
      </c>
    </row>
    <row r="15" spans="2:46" s="28" customFormat="1" ht="19.5" customHeight="1" x14ac:dyDescent="0.3">
      <c r="B15" s="18"/>
      <c r="C15" s="62" t="s">
        <v>32</v>
      </c>
      <c r="D15" s="298">
        <v>0.66700000000000004</v>
      </c>
      <c r="E15" s="18">
        <v>1</v>
      </c>
      <c r="F15" s="18">
        <v>1</v>
      </c>
      <c r="G15" s="556">
        <f>+(2.912)*3.281</f>
        <v>9.554272000000001</v>
      </c>
      <c r="H15" s="20">
        <f t="shared" si="14"/>
        <v>0.66700000000000004</v>
      </c>
      <c r="I15" s="224">
        <f>18/12</f>
        <v>1.5</v>
      </c>
      <c r="J15" s="81">
        <f>3</f>
        <v>3</v>
      </c>
      <c r="K15" s="103">
        <f t="shared" si="15"/>
        <v>19.118098272000005</v>
      </c>
      <c r="L15" s="103">
        <f t="shared" si="16"/>
        <v>0</v>
      </c>
      <c r="M15" s="81">
        <v>4</v>
      </c>
      <c r="N15" s="103">
        <f t="shared" si="17"/>
        <v>25.490797696000005</v>
      </c>
      <c r="O15" s="103">
        <f t="shared" si="18"/>
        <v>0</v>
      </c>
      <c r="P15" s="81">
        <f>11.833-I15-M15-J15</f>
        <v>3.3330000000000002</v>
      </c>
      <c r="Q15" s="103">
        <f t="shared" si="19"/>
        <v>21.240207180192005</v>
      </c>
      <c r="R15" s="103">
        <f t="shared" si="20"/>
        <v>0</v>
      </c>
      <c r="S15" s="104">
        <f t="shared" si="21"/>
        <v>65.849103148192015</v>
      </c>
      <c r="T15" s="104">
        <f t="shared" si="21"/>
        <v>0</v>
      </c>
      <c r="U15" s="18"/>
      <c r="V15" s="26"/>
      <c r="W15" s="21"/>
      <c r="X15" s="21"/>
      <c r="Y15" s="21"/>
      <c r="Z15" s="21"/>
      <c r="AA15" s="21"/>
      <c r="AB15" s="21"/>
      <c r="AC15" s="27"/>
      <c r="AD15" s="21"/>
      <c r="AE15" s="21"/>
      <c r="AF15" s="21"/>
      <c r="AG15" s="27"/>
      <c r="AH15" s="396">
        <v>1</v>
      </c>
      <c r="AI15" s="21">
        <f t="shared" si="22"/>
        <v>1.0833589020800003</v>
      </c>
      <c r="AK15" s="301">
        <f>+IF(D15=0.667,E15*F15*G15,0)</f>
        <v>9.554272000000001</v>
      </c>
      <c r="AL15" s="301">
        <f>+IF(D15=0.333,E15*F15*G15,0)</f>
        <v>0</v>
      </c>
      <c r="AM15" s="301"/>
      <c r="AN15" s="301"/>
      <c r="AO15" s="299"/>
      <c r="AP15" s="301"/>
      <c r="AQ15" s="301"/>
      <c r="AT15" s="28">
        <f t="shared" si="13"/>
        <v>9.554272000000001</v>
      </c>
    </row>
    <row r="16" spans="2:46" s="28" customFormat="1" ht="20.100000000000001" customHeight="1" x14ac:dyDescent="0.3">
      <c r="B16" s="369"/>
      <c r="C16" s="370"/>
      <c r="D16" s="371"/>
      <c r="E16" s="369"/>
      <c r="F16" s="369"/>
      <c r="G16" s="371"/>
      <c r="H16" s="371"/>
      <c r="I16" s="374"/>
      <c r="J16" s="397"/>
      <c r="K16" s="398"/>
      <c r="L16" s="398"/>
      <c r="M16" s="397"/>
      <c r="N16" s="398"/>
      <c r="O16" s="398"/>
      <c r="P16" s="397"/>
      <c r="Q16" s="398"/>
      <c r="R16" s="398"/>
      <c r="S16" s="399"/>
      <c r="T16" s="399"/>
      <c r="U16" s="369"/>
      <c r="V16" s="373"/>
      <c r="W16" s="374"/>
      <c r="X16" s="374"/>
      <c r="Y16" s="374"/>
      <c r="Z16" s="374"/>
      <c r="AA16" s="374"/>
      <c r="AB16" s="374"/>
      <c r="AC16" s="400"/>
      <c r="AD16" s="374"/>
      <c r="AE16" s="374"/>
      <c r="AF16" s="374"/>
      <c r="AG16" s="400"/>
      <c r="AH16" s="401"/>
      <c r="AI16" s="374"/>
      <c r="AK16" s="378"/>
      <c r="AL16" s="378"/>
      <c r="AM16" s="378"/>
      <c r="AN16" s="378"/>
      <c r="AO16" s="374"/>
      <c r="AP16" s="378"/>
      <c r="AQ16" s="378"/>
      <c r="AT16" s="28">
        <f t="shared" si="13"/>
        <v>0</v>
      </c>
    </row>
    <row r="17" spans="2:46" s="28" customFormat="1" ht="20.100000000000001" customHeight="1" x14ac:dyDescent="0.3">
      <c r="B17" s="92"/>
      <c r="C17" s="97" t="s">
        <v>380</v>
      </c>
      <c r="D17" s="98"/>
      <c r="E17" s="92"/>
      <c r="F17" s="92"/>
      <c r="G17" s="98"/>
      <c r="H17" s="98"/>
      <c r="I17" s="94"/>
      <c r="J17" s="92"/>
      <c r="K17" s="92"/>
      <c r="L17" s="92"/>
      <c r="M17" s="92"/>
      <c r="N17" s="92"/>
      <c r="O17" s="92"/>
      <c r="P17" s="92"/>
      <c r="Q17" s="92"/>
      <c r="R17" s="92"/>
      <c r="S17" s="92"/>
      <c r="T17" s="92"/>
      <c r="U17" s="92"/>
      <c r="V17" s="91"/>
      <c r="W17" s="102"/>
      <c r="X17" s="98"/>
      <c r="Y17" s="102"/>
      <c r="Z17" s="98"/>
      <c r="AA17" s="98"/>
      <c r="AB17" s="98"/>
      <c r="AC17" s="91"/>
      <c r="AD17" s="98"/>
      <c r="AE17" s="98"/>
      <c r="AF17" s="98"/>
      <c r="AG17" s="91"/>
      <c r="AH17" s="305"/>
      <c r="AI17" s="299"/>
      <c r="AK17" s="301">
        <f t="shared" ref="AK17:AK21" si="23">+IF(D17=0.667,E17*F17*G17,0)</f>
        <v>0</v>
      </c>
      <c r="AL17" s="301">
        <f t="shared" ref="AL17:AL21" si="24">+IF(D17=0.333,E17*F17*G17,0)</f>
        <v>0</v>
      </c>
      <c r="AM17" s="301"/>
      <c r="AN17" s="301">
        <f>+IF(D17=0.333,1.33,0)</f>
        <v>0</v>
      </c>
      <c r="AO17" s="299"/>
      <c r="AP17" s="301"/>
      <c r="AQ17" s="301"/>
      <c r="AT17" s="28">
        <f t="shared" si="13"/>
        <v>0</v>
      </c>
    </row>
    <row r="18" spans="2:46" s="28" customFormat="1" ht="20.100000000000001" customHeight="1" x14ac:dyDescent="0.3">
      <c r="B18" s="92"/>
      <c r="C18" s="95" t="s">
        <v>33</v>
      </c>
      <c r="D18" s="98">
        <v>0.66700000000000004</v>
      </c>
      <c r="E18" s="92">
        <v>1</v>
      </c>
      <c r="F18" s="92">
        <v>1</v>
      </c>
      <c r="G18" s="555">
        <f>+(2.135*3.281)</f>
        <v>7.0049349999999997</v>
      </c>
      <c r="H18" s="98">
        <f>+D18</f>
        <v>0.66700000000000004</v>
      </c>
      <c r="I18" s="94">
        <v>2</v>
      </c>
      <c r="J18" s="99">
        <v>3</v>
      </c>
      <c r="K18" s="100">
        <f>+IF(D18=0.667,E18*F18*G18*H18*J18,0)</f>
        <v>14.016874935000001</v>
      </c>
      <c r="L18" s="100">
        <f>+IF(D18=0.333,E18*F18*G18*J18,0)</f>
        <v>0</v>
      </c>
      <c r="M18" s="99">
        <v>4</v>
      </c>
      <c r="N18" s="100">
        <f>+IF(D18=0.667,E18*F18*G18*H18*M18,0)</f>
        <v>18.689166580000002</v>
      </c>
      <c r="O18" s="100">
        <f>+IF(D18=0.333,E18*F18*G18*M18,0)</f>
        <v>0</v>
      </c>
      <c r="P18" s="81">
        <f>11.833-I18-M18-J18</f>
        <v>2.8330000000000002</v>
      </c>
      <c r="Q18" s="100">
        <f>+IF(D18=0.667,E18*F18*G18*H18*P18,0)</f>
        <v>13.236602230285003</v>
      </c>
      <c r="R18" s="100">
        <f>+IF(D18=0.333,E18*F18*G18*P18,0)</f>
        <v>0</v>
      </c>
      <c r="S18" s="101">
        <f t="shared" ref="S18:T21" si="25">+Q18+N18+K18</f>
        <v>45.942643745285011</v>
      </c>
      <c r="T18" s="101">
        <f t="shared" si="25"/>
        <v>0</v>
      </c>
      <c r="U18" s="92"/>
      <c r="V18" s="91"/>
      <c r="W18" s="102"/>
      <c r="X18" s="98"/>
      <c r="Y18" s="102"/>
      <c r="Z18" s="98"/>
      <c r="AA18" s="98"/>
      <c r="AB18" s="98"/>
      <c r="AC18" s="91"/>
      <c r="AD18" s="98"/>
      <c r="AE18" s="98"/>
      <c r="AF18" s="98"/>
      <c r="AG18" s="91"/>
      <c r="AH18" s="305">
        <v>1</v>
      </c>
      <c r="AI18" s="299">
        <f>+AH18*G18*D18*0.17</f>
        <v>0.79428957965000013</v>
      </c>
      <c r="AK18" s="301">
        <f t="shared" si="23"/>
        <v>7.0049349999999997</v>
      </c>
      <c r="AL18" s="301">
        <f t="shared" si="24"/>
        <v>0</v>
      </c>
      <c r="AM18" s="301"/>
      <c r="AN18" s="301">
        <f>+IF(D18=0.333,1.33,0)</f>
        <v>0</v>
      </c>
      <c r="AO18" s="299"/>
      <c r="AP18" s="301">
        <f>+S18</f>
        <v>45.942643745285011</v>
      </c>
      <c r="AQ18" s="301"/>
      <c r="AT18" s="28">
        <f t="shared" si="13"/>
        <v>7.0049349999999997</v>
      </c>
    </row>
    <row r="19" spans="2:46" s="28" customFormat="1" ht="20.100000000000001" customHeight="1" x14ac:dyDescent="0.3">
      <c r="B19" s="18"/>
      <c r="C19" s="62" t="s">
        <v>130</v>
      </c>
      <c r="D19" s="98">
        <v>0.66700000000000004</v>
      </c>
      <c r="E19" s="18">
        <v>-1</v>
      </c>
      <c r="F19" s="18">
        <v>1</v>
      </c>
      <c r="G19" s="556">
        <v>3</v>
      </c>
      <c r="H19" s="20">
        <f t="shared" ref="H19" si="26">+D19</f>
        <v>0.66700000000000004</v>
      </c>
      <c r="I19" s="21"/>
      <c r="J19" s="22">
        <v>3</v>
      </c>
      <c r="K19" s="103">
        <f t="shared" ref="K19" si="27">+IF(D19=0.667,E19*F19*G19*H19*J19,0)</f>
        <v>-6.003000000000001</v>
      </c>
      <c r="L19" s="103">
        <f t="shared" ref="L19" si="28">+IF(D19=0.333,E19*F19*G19*J19,0)</f>
        <v>0</v>
      </c>
      <c r="M19" s="81">
        <v>4</v>
      </c>
      <c r="N19" s="103">
        <f t="shared" ref="N19" si="29">+IF(D19=0.667,E19*F19*G19*H19*M19,0)</f>
        <v>-8.0040000000000013</v>
      </c>
      <c r="O19" s="103">
        <f t="shared" ref="O19" si="30">+IF(D19=0.333,E19*F19*G19*M19,0)</f>
        <v>0</v>
      </c>
      <c r="P19" s="81"/>
      <c r="Q19" s="103">
        <f t="shared" ref="Q19" si="31">+IF(D19=0.667,E19*F19*G19*H19*P19,0)</f>
        <v>0</v>
      </c>
      <c r="R19" s="103">
        <f t="shared" ref="R19" si="32">+IF(D19=0.333,E19*F19*G19*P19,0)</f>
        <v>0</v>
      </c>
      <c r="S19" s="104">
        <f t="shared" si="25"/>
        <v>-14.007000000000001</v>
      </c>
      <c r="T19" s="104">
        <f t="shared" si="25"/>
        <v>0</v>
      </c>
      <c r="U19" s="18"/>
      <c r="V19" s="26"/>
      <c r="W19" s="21">
        <f>+G19+D19</f>
        <v>3.6669999999999998</v>
      </c>
      <c r="X19" s="21">
        <v>0.5</v>
      </c>
      <c r="Y19" s="21">
        <f>+IF(D19=0.667,-E19*F19*H19*W19*X19,0)</f>
        <v>1.2229445000000001</v>
      </c>
      <c r="Z19" s="21">
        <f>+IF(D19=0.333,-E19*F19*H19*W19*X19,0)</f>
        <v>0</v>
      </c>
      <c r="AA19" s="21">
        <f>+F19*G19*H19</f>
        <v>2.0010000000000003</v>
      </c>
      <c r="AB19" s="21">
        <f t="shared" ref="AB19" si="33">2*F19*W19*X19</f>
        <v>3.6669999999999998</v>
      </c>
      <c r="AC19" s="27"/>
      <c r="AD19" s="21"/>
      <c r="AE19" s="21"/>
      <c r="AF19" s="21"/>
      <c r="AG19" s="27"/>
      <c r="AH19" s="306"/>
      <c r="AI19" s="299"/>
      <c r="AK19" s="301">
        <f t="shared" si="23"/>
        <v>-3</v>
      </c>
      <c r="AL19" s="301">
        <f t="shared" si="24"/>
        <v>0</v>
      </c>
      <c r="AM19" s="301"/>
      <c r="AN19" s="301"/>
      <c r="AO19" s="299"/>
      <c r="AP19" s="301">
        <f t="shared" ref="AP19:AP21" si="34">+S19</f>
        <v>-14.007000000000001</v>
      </c>
      <c r="AQ19" s="301"/>
      <c r="AT19" s="28">
        <f t="shared" si="13"/>
        <v>-3</v>
      </c>
    </row>
    <row r="20" spans="2:46" s="28" customFormat="1" ht="20.100000000000001" customHeight="1" x14ac:dyDescent="0.3">
      <c r="B20" s="92"/>
      <c r="C20" s="95" t="s">
        <v>31</v>
      </c>
      <c r="D20" s="98">
        <v>0.66700000000000004</v>
      </c>
      <c r="E20" s="92">
        <v>1</v>
      </c>
      <c r="F20" s="92">
        <v>1</v>
      </c>
      <c r="G20" s="555">
        <f>(3.52)*3.281</f>
        <v>11.54912</v>
      </c>
      <c r="H20" s="98">
        <f>+D20</f>
        <v>0.66700000000000004</v>
      </c>
      <c r="I20" s="94">
        <v>2</v>
      </c>
      <c r="J20" s="99">
        <v>3</v>
      </c>
      <c r="K20" s="100">
        <f>+IF(D20=0.667,E20*F20*G20*H20*J20,0)</f>
        <v>23.109789120000002</v>
      </c>
      <c r="L20" s="100">
        <f>+IF(D20=0.333,E20*F20*G20*J20,0)</f>
        <v>0</v>
      </c>
      <c r="M20" s="99">
        <v>4</v>
      </c>
      <c r="N20" s="100">
        <f>+IF(D20=0.667,E20*F20*G20*H20*M20,0)</f>
        <v>30.813052160000002</v>
      </c>
      <c r="O20" s="100">
        <f>+IF(D20=0.333,E20*F20*G20*M20,0)</f>
        <v>0</v>
      </c>
      <c r="P20" s="81">
        <f>11.833-I20-M20-J20</f>
        <v>2.8330000000000002</v>
      </c>
      <c r="Q20" s="100">
        <f>+IF(D20=0.667,E20*F20*G20*H20*P20,0)</f>
        <v>21.823344192320004</v>
      </c>
      <c r="R20" s="100">
        <f>+IF(D20=0.333,E20*F20*G20*P20,0)</f>
        <v>0</v>
      </c>
      <c r="S20" s="101">
        <f t="shared" si="25"/>
        <v>75.746185472320008</v>
      </c>
      <c r="T20" s="101">
        <f t="shared" si="25"/>
        <v>0</v>
      </c>
      <c r="U20" s="92"/>
      <c r="V20" s="91"/>
      <c r="W20" s="102"/>
      <c r="X20" s="98"/>
      <c r="Y20" s="102"/>
      <c r="Z20" s="98"/>
      <c r="AA20" s="98"/>
      <c r="AB20" s="98"/>
      <c r="AC20" s="91"/>
      <c r="AD20" s="98"/>
      <c r="AE20" s="98"/>
      <c r="AF20" s="98"/>
      <c r="AG20" s="91"/>
      <c r="AH20" s="304">
        <v>1</v>
      </c>
      <c r="AI20" s="299">
        <f>+AH20*G20*D20*0.17</f>
        <v>1.3095547168000001</v>
      </c>
      <c r="AK20" s="301">
        <f t="shared" si="23"/>
        <v>11.54912</v>
      </c>
      <c r="AL20" s="301">
        <f t="shared" si="24"/>
        <v>0</v>
      </c>
      <c r="AM20" s="301"/>
      <c r="AN20" s="301"/>
      <c r="AO20" s="299"/>
      <c r="AP20" s="301">
        <f t="shared" si="34"/>
        <v>75.746185472320008</v>
      </c>
      <c r="AQ20" s="301"/>
      <c r="AT20" s="28">
        <f t="shared" si="13"/>
        <v>11.54912</v>
      </c>
    </row>
    <row r="21" spans="2:46" s="28" customFormat="1" ht="20.100000000000001" customHeight="1" x14ac:dyDescent="0.3">
      <c r="B21" s="92"/>
      <c r="C21" s="95" t="s">
        <v>32</v>
      </c>
      <c r="D21" s="98">
        <v>0.66700000000000004</v>
      </c>
      <c r="E21" s="92">
        <v>1</v>
      </c>
      <c r="F21" s="92">
        <v>1</v>
      </c>
      <c r="G21" s="555">
        <f>(2.135)*3.281</f>
        <v>7.0049349999999997</v>
      </c>
      <c r="H21" s="98">
        <f>+D21</f>
        <v>0.66700000000000004</v>
      </c>
      <c r="I21" s="94">
        <v>2</v>
      </c>
      <c r="J21" s="99">
        <v>3</v>
      </c>
      <c r="K21" s="100">
        <f>+IF(D21=0.667,E21*F21*G21*H21*J21,0)</f>
        <v>14.016874935000001</v>
      </c>
      <c r="L21" s="100">
        <f>+IF(D21=0.333,E21*F21*G21*J21,0)</f>
        <v>0</v>
      </c>
      <c r="M21" s="99">
        <v>4</v>
      </c>
      <c r="N21" s="100">
        <f>+IF(D21=0.667,E21*F21*G21*H21*M21,0)</f>
        <v>18.689166580000002</v>
      </c>
      <c r="O21" s="100">
        <f>+IF(D21=0.333,E21*F21*G21*M21,0)</f>
        <v>0</v>
      </c>
      <c r="P21" s="81">
        <f>11.833-I21-M21-J21</f>
        <v>2.8330000000000002</v>
      </c>
      <c r="Q21" s="100">
        <f>+IF(D21=0.667,E21*F21*G21*H21*P21,0)</f>
        <v>13.236602230285003</v>
      </c>
      <c r="R21" s="100">
        <f>+IF(D21=0.333,E21*F21*G21*P21,0)</f>
        <v>0</v>
      </c>
      <c r="S21" s="101">
        <f t="shared" si="25"/>
        <v>45.942643745285011</v>
      </c>
      <c r="T21" s="101">
        <f t="shared" si="25"/>
        <v>0</v>
      </c>
      <c r="U21" s="92"/>
      <c r="V21" s="91"/>
      <c r="W21" s="102"/>
      <c r="X21" s="98"/>
      <c r="Y21" s="102"/>
      <c r="Z21" s="98"/>
      <c r="AA21" s="98"/>
      <c r="AB21" s="98"/>
      <c r="AC21" s="91"/>
      <c r="AD21" s="98"/>
      <c r="AE21" s="98"/>
      <c r="AF21" s="98"/>
      <c r="AG21" s="91"/>
      <c r="AH21" s="304">
        <v>1</v>
      </c>
      <c r="AI21" s="299">
        <f>+AH21*G21*D21*0.17</f>
        <v>0.79428957965000013</v>
      </c>
      <c r="AK21" s="301">
        <f t="shared" si="23"/>
        <v>7.0049349999999997</v>
      </c>
      <c r="AL21" s="301">
        <f t="shared" si="24"/>
        <v>0</v>
      </c>
      <c r="AM21" s="301"/>
      <c r="AN21" s="301"/>
      <c r="AO21" s="299"/>
      <c r="AP21" s="301">
        <f t="shared" si="34"/>
        <v>45.942643745285011</v>
      </c>
      <c r="AQ21" s="301"/>
      <c r="AT21" s="28">
        <f t="shared" si="13"/>
        <v>7.0049349999999997</v>
      </c>
    </row>
    <row r="22" spans="2:46" s="28" customFormat="1" ht="20.100000000000001" customHeight="1" x14ac:dyDescent="0.3">
      <c r="B22" s="369"/>
      <c r="C22" s="370"/>
      <c r="D22" s="371"/>
      <c r="E22" s="369"/>
      <c r="F22" s="369"/>
      <c r="G22" s="371"/>
      <c r="H22" s="371"/>
      <c r="I22" s="374"/>
      <c r="J22" s="397"/>
      <c r="K22" s="398"/>
      <c r="L22" s="398"/>
      <c r="M22" s="397"/>
      <c r="N22" s="398"/>
      <c r="O22" s="398"/>
      <c r="P22" s="397"/>
      <c r="Q22" s="398"/>
      <c r="R22" s="398"/>
      <c r="S22" s="399"/>
      <c r="T22" s="399"/>
      <c r="U22" s="369"/>
      <c r="V22" s="373"/>
      <c r="W22" s="374"/>
      <c r="X22" s="374"/>
      <c r="Y22" s="374"/>
      <c r="Z22" s="374"/>
      <c r="AA22" s="374"/>
      <c r="AB22" s="374"/>
      <c r="AC22" s="400"/>
      <c r="AD22" s="374"/>
      <c r="AE22" s="374"/>
      <c r="AF22" s="374"/>
      <c r="AG22" s="400"/>
      <c r="AH22" s="401"/>
      <c r="AI22" s="374"/>
      <c r="AK22" s="378"/>
      <c r="AL22" s="378"/>
      <c r="AM22" s="378"/>
      <c r="AN22" s="378"/>
      <c r="AO22" s="374"/>
      <c r="AP22" s="378"/>
      <c r="AQ22" s="378"/>
      <c r="AT22" s="28">
        <f t="shared" si="13"/>
        <v>0</v>
      </c>
    </row>
    <row r="23" spans="2:46" s="28" customFormat="1" ht="20.100000000000001" customHeight="1" x14ac:dyDescent="0.3">
      <c r="B23" s="92"/>
      <c r="C23" s="97" t="s">
        <v>380</v>
      </c>
      <c r="D23" s="98"/>
      <c r="E23" s="92"/>
      <c r="F23" s="92"/>
      <c r="G23" s="98"/>
      <c r="H23" s="98"/>
      <c r="I23" s="94"/>
      <c r="J23" s="92"/>
      <c r="K23" s="92"/>
      <c r="L23" s="92"/>
      <c r="M23" s="92"/>
      <c r="N23" s="92"/>
      <c r="O23" s="92"/>
      <c r="P23" s="92"/>
      <c r="Q23" s="92"/>
      <c r="R23" s="92"/>
      <c r="S23" s="92"/>
      <c r="T23" s="92"/>
      <c r="U23" s="92"/>
      <c r="V23" s="91"/>
      <c r="W23" s="102"/>
      <c r="X23" s="98"/>
      <c r="Y23" s="102"/>
      <c r="Z23" s="98"/>
      <c r="AA23" s="98"/>
      <c r="AB23" s="98"/>
      <c r="AC23" s="91"/>
      <c r="AD23" s="98"/>
      <c r="AE23" s="98"/>
      <c r="AF23" s="98"/>
      <c r="AG23" s="91"/>
      <c r="AH23" s="305"/>
      <c r="AI23" s="299"/>
      <c r="AK23" s="301">
        <f t="shared" ref="AK23:AK27" si="35">+IF(D23=0.667,E23*F23*G23,0)</f>
        <v>0</v>
      </c>
      <c r="AL23" s="301">
        <f t="shared" ref="AL23:AL27" si="36">+IF(D23=0.333,E23*F23*G23,0)</f>
        <v>0</v>
      </c>
      <c r="AM23" s="301"/>
      <c r="AN23" s="301">
        <f>+IF(D23=0.333,1.33,0)</f>
        <v>0</v>
      </c>
      <c r="AO23" s="299"/>
      <c r="AP23" s="301"/>
      <c r="AQ23" s="301"/>
      <c r="AT23" s="28">
        <f t="shared" si="13"/>
        <v>0</v>
      </c>
    </row>
    <row r="24" spans="2:46" s="28" customFormat="1" ht="20.100000000000001" customHeight="1" x14ac:dyDescent="0.3">
      <c r="B24" s="92"/>
      <c r="C24" s="95" t="s">
        <v>33</v>
      </c>
      <c r="D24" s="98">
        <v>0.66700000000000004</v>
      </c>
      <c r="E24" s="92">
        <v>1</v>
      </c>
      <c r="F24" s="92">
        <v>1</v>
      </c>
      <c r="G24" s="555">
        <f>+(2.135*3.281)</f>
        <v>7.0049349999999997</v>
      </c>
      <c r="H24" s="98">
        <f>+D24</f>
        <v>0.66700000000000004</v>
      </c>
      <c r="I24" s="94">
        <v>2</v>
      </c>
      <c r="J24" s="99">
        <v>3</v>
      </c>
      <c r="K24" s="100">
        <f>+IF(D24=0.667,E24*F24*G24*H24*J24,0)</f>
        <v>14.016874935000001</v>
      </c>
      <c r="L24" s="100">
        <f>+IF(D24=0.333,E24*F24*G24*J24,0)</f>
        <v>0</v>
      </c>
      <c r="M24" s="99">
        <v>4</v>
      </c>
      <c r="N24" s="100">
        <f>+IF(D24=0.667,E24*F24*G24*H24*M24,0)</f>
        <v>18.689166580000002</v>
      </c>
      <c r="O24" s="100">
        <f>+IF(D24=0.333,E24*F24*G24*M24,0)</f>
        <v>0</v>
      </c>
      <c r="P24" s="81">
        <f>11.833-I24-M24-J24</f>
        <v>2.8330000000000002</v>
      </c>
      <c r="Q24" s="100">
        <f>+IF(D24=0.667,E24*F24*G24*H24*P24,0)</f>
        <v>13.236602230285003</v>
      </c>
      <c r="R24" s="100">
        <f>+IF(D24=0.333,E24*F24*G24*P24,0)</f>
        <v>0</v>
      </c>
      <c r="S24" s="101">
        <f t="shared" ref="S24:T27" si="37">+Q24+N24+K24</f>
        <v>45.942643745285011</v>
      </c>
      <c r="T24" s="101">
        <f t="shared" si="37"/>
        <v>0</v>
      </c>
      <c r="U24" s="92"/>
      <c r="V24" s="91"/>
      <c r="W24" s="102"/>
      <c r="X24" s="98"/>
      <c r="Y24" s="102"/>
      <c r="Z24" s="98"/>
      <c r="AA24" s="98"/>
      <c r="AB24" s="98"/>
      <c r="AC24" s="91"/>
      <c r="AD24" s="98"/>
      <c r="AE24" s="98"/>
      <c r="AF24" s="98"/>
      <c r="AG24" s="91"/>
      <c r="AH24" s="305">
        <v>1</v>
      </c>
      <c r="AI24" s="299">
        <f>+AH24*G24*D24*0.17</f>
        <v>0.79428957965000013</v>
      </c>
      <c r="AK24" s="301">
        <f t="shared" si="35"/>
        <v>7.0049349999999997</v>
      </c>
      <c r="AL24" s="301">
        <f t="shared" si="36"/>
        <v>0</v>
      </c>
      <c r="AM24" s="301"/>
      <c r="AN24" s="301">
        <f>+IF(D24=0.333,1.33,0)</f>
        <v>0</v>
      </c>
      <c r="AO24" s="299"/>
      <c r="AP24" s="301">
        <f>+S24</f>
        <v>45.942643745285011</v>
      </c>
      <c r="AQ24" s="301"/>
      <c r="AT24" s="28">
        <f t="shared" si="13"/>
        <v>7.0049349999999997</v>
      </c>
    </row>
    <row r="25" spans="2:46" s="28" customFormat="1" ht="20.100000000000001" customHeight="1" x14ac:dyDescent="0.3">
      <c r="B25" s="18"/>
      <c r="C25" s="62" t="s">
        <v>130</v>
      </c>
      <c r="D25" s="98">
        <v>0.66700000000000004</v>
      </c>
      <c r="E25" s="18">
        <v>-1</v>
      </c>
      <c r="F25" s="18">
        <v>1</v>
      </c>
      <c r="G25" s="556">
        <v>3</v>
      </c>
      <c r="H25" s="20">
        <f t="shared" ref="H25" si="38">+D25</f>
        <v>0.66700000000000004</v>
      </c>
      <c r="I25" s="21"/>
      <c r="J25" s="22">
        <v>3</v>
      </c>
      <c r="K25" s="103">
        <f t="shared" ref="K25" si="39">+IF(D25=0.667,E25*F25*G25*H25*J25,0)</f>
        <v>-6.003000000000001</v>
      </c>
      <c r="L25" s="103">
        <f t="shared" ref="L25" si="40">+IF(D25=0.333,E25*F25*G25*J25,0)</f>
        <v>0</v>
      </c>
      <c r="M25" s="81">
        <v>4</v>
      </c>
      <c r="N25" s="103">
        <f t="shared" ref="N25" si="41">+IF(D25=0.667,E25*F25*G25*H25*M25,0)</f>
        <v>-8.0040000000000013</v>
      </c>
      <c r="O25" s="103">
        <f t="shared" ref="O25" si="42">+IF(D25=0.333,E25*F25*G25*M25,0)</f>
        <v>0</v>
      </c>
      <c r="P25" s="81"/>
      <c r="Q25" s="103">
        <f t="shared" ref="Q25" si="43">+IF(D25=0.667,E25*F25*G25*H25*P25,0)</f>
        <v>0</v>
      </c>
      <c r="R25" s="103">
        <f t="shared" ref="R25" si="44">+IF(D25=0.333,E25*F25*G25*P25,0)</f>
        <v>0</v>
      </c>
      <c r="S25" s="104">
        <f t="shared" si="37"/>
        <v>-14.007000000000001</v>
      </c>
      <c r="T25" s="104">
        <f t="shared" si="37"/>
        <v>0</v>
      </c>
      <c r="U25" s="18"/>
      <c r="V25" s="26"/>
      <c r="W25" s="21">
        <f>+G25+D25</f>
        <v>3.6669999999999998</v>
      </c>
      <c r="X25" s="21">
        <v>0.5</v>
      </c>
      <c r="Y25" s="21">
        <f>+IF(D25=0.667,-E25*F25*H25*W25*X25,0)</f>
        <v>1.2229445000000001</v>
      </c>
      <c r="Z25" s="21">
        <f>+IF(D25=0.333,-E25*F25*H25*W25*X25,0)</f>
        <v>0</v>
      </c>
      <c r="AA25" s="21">
        <f>+F25*G25*H25</f>
        <v>2.0010000000000003</v>
      </c>
      <c r="AB25" s="21">
        <f t="shared" ref="AB25" si="45">2*F25*W25*X25</f>
        <v>3.6669999999999998</v>
      </c>
      <c r="AC25" s="27"/>
      <c r="AD25" s="21"/>
      <c r="AE25" s="21"/>
      <c r="AF25" s="21"/>
      <c r="AG25" s="27"/>
      <c r="AH25" s="306"/>
      <c r="AI25" s="299"/>
      <c r="AK25" s="301">
        <f t="shared" si="35"/>
        <v>-3</v>
      </c>
      <c r="AL25" s="301">
        <f t="shared" si="36"/>
        <v>0</v>
      </c>
      <c r="AM25" s="301"/>
      <c r="AN25" s="301"/>
      <c r="AO25" s="299"/>
      <c r="AP25" s="301">
        <f t="shared" ref="AP25:AP27" si="46">+S25</f>
        <v>-14.007000000000001</v>
      </c>
      <c r="AQ25" s="301"/>
      <c r="AT25" s="28">
        <f t="shared" si="13"/>
        <v>-3</v>
      </c>
    </row>
    <row r="26" spans="2:46" s="28" customFormat="1" ht="20.100000000000001" customHeight="1" x14ac:dyDescent="0.3">
      <c r="B26" s="92"/>
      <c r="C26" s="95" t="s">
        <v>31</v>
      </c>
      <c r="D26" s="98">
        <v>0.66700000000000004</v>
      </c>
      <c r="E26" s="92">
        <v>1</v>
      </c>
      <c r="F26" s="92">
        <v>1</v>
      </c>
      <c r="G26" s="555">
        <f>(3.904)*3.281</f>
        <v>12.809024000000001</v>
      </c>
      <c r="H26" s="98">
        <f>+D26</f>
        <v>0.66700000000000004</v>
      </c>
      <c r="I26" s="94">
        <v>2</v>
      </c>
      <c r="J26" s="99">
        <v>3</v>
      </c>
      <c r="K26" s="100">
        <f>+IF(D26=0.667,E26*F26*G26*H26*J26,0)</f>
        <v>25.630857024000001</v>
      </c>
      <c r="L26" s="100">
        <f>+IF(D26=0.333,E26*F26*G26*J26,0)</f>
        <v>0</v>
      </c>
      <c r="M26" s="99">
        <v>4</v>
      </c>
      <c r="N26" s="100">
        <f>+IF(D26=0.667,E26*F26*G26*H26*M26,0)</f>
        <v>34.174476032000001</v>
      </c>
      <c r="O26" s="100">
        <f>+IF(D26=0.333,E26*F26*G26*M26,0)</f>
        <v>0</v>
      </c>
      <c r="P26" s="81">
        <f t="shared" ref="P26:P27" si="47">11.833-I26-M26-J26</f>
        <v>2.8330000000000002</v>
      </c>
      <c r="Q26" s="100">
        <f>+IF(D26=0.667,E26*F26*G26*H26*P26,0)</f>
        <v>24.204072649664003</v>
      </c>
      <c r="R26" s="100">
        <f>+IF(D26=0.333,E26*F26*G26*P26,0)</f>
        <v>0</v>
      </c>
      <c r="S26" s="101">
        <f t="shared" si="37"/>
        <v>84.009405705663994</v>
      </c>
      <c r="T26" s="101">
        <f t="shared" si="37"/>
        <v>0</v>
      </c>
      <c r="U26" s="92"/>
      <c r="V26" s="91"/>
      <c r="W26" s="102"/>
      <c r="X26" s="98"/>
      <c r="Y26" s="102"/>
      <c r="Z26" s="98"/>
      <c r="AA26" s="98"/>
      <c r="AB26" s="98"/>
      <c r="AC26" s="91"/>
      <c r="AD26" s="98"/>
      <c r="AE26" s="98"/>
      <c r="AF26" s="98"/>
      <c r="AG26" s="91"/>
      <c r="AH26" s="304">
        <v>1</v>
      </c>
      <c r="AI26" s="299">
        <f>+AH26*G26*D26*0.17</f>
        <v>1.4524152313600001</v>
      </c>
      <c r="AK26" s="301">
        <f t="shared" si="35"/>
        <v>12.809024000000001</v>
      </c>
      <c r="AL26" s="301">
        <f t="shared" si="36"/>
        <v>0</v>
      </c>
      <c r="AM26" s="301"/>
      <c r="AN26" s="301"/>
      <c r="AO26" s="299"/>
      <c r="AP26" s="301">
        <f t="shared" si="46"/>
        <v>84.009405705663994</v>
      </c>
      <c r="AQ26" s="301"/>
      <c r="AT26" s="28">
        <f t="shared" si="13"/>
        <v>12.809024000000001</v>
      </c>
    </row>
    <row r="27" spans="2:46" s="28" customFormat="1" ht="20.100000000000001" customHeight="1" x14ac:dyDescent="0.3">
      <c r="B27" s="92"/>
      <c r="C27" s="95" t="s">
        <v>32</v>
      </c>
      <c r="D27" s="98">
        <v>0.66700000000000004</v>
      </c>
      <c r="E27" s="92">
        <v>1</v>
      </c>
      <c r="F27" s="92">
        <v>1</v>
      </c>
      <c r="G27" s="555">
        <f>(2.135)*3.281</f>
        <v>7.0049349999999997</v>
      </c>
      <c r="H27" s="98">
        <f>+D27</f>
        <v>0.66700000000000004</v>
      </c>
      <c r="I27" s="94">
        <v>2</v>
      </c>
      <c r="J27" s="99">
        <v>3</v>
      </c>
      <c r="K27" s="100">
        <f>+IF(D27=0.667,E27*F27*G27*H27*J27,0)</f>
        <v>14.016874935000001</v>
      </c>
      <c r="L27" s="100">
        <f>+IF(D27=0.333,E27*F27*G27*J27,0)</f>
        <v>0</v>
      </c>
      <c r="M27" s="99">
        <v>4</v>
      </c>
      <c r="N27" s="100">
        <f>+IF(D27=0.667,E27*F27*G27*H27*M27,0)</f>
        <v>18.689166580000002</v>
      </c>
      <c r="O27" s="100">
        <f>+IF(D27=0.333,E27*F27*G27*M27,0)</f>
        <v>0</v>
      </c>
      <c r="P27" s="81">
        <f t="shared" si="47"/>
        <v>2.8330000000000002</v>
      </c>
      <c r="Q27" s="100">
        <f>+IF(D27=0.667,E27*F27*G27*H27*P27,0)</f>
        <v>13.236602230285003</v>
      </c>
      <c r="R27" s="100">
        <f>+IF(D27=0.333,E27*F27*G27*P27,0)</f>
        <v>0</v>
      </c>
      <c r="S27" s="101">
        <f t="shared" si="37"/>
        <v>45.942643745285011</v>
      </c>
      <c r="T27" s="101">
        <f t="shared" si="37"/>
        <v>0</v>
      </c>
      <c r="U27" s="92"/>
      <c r="V27" s="91"/>
      <c r="W27" s="102"/>
      <c r="X27" s="98"/>
      <c r="Y27" s="102"/>
      <c r="Z27" s="98"/>
      <c r="AA27" s="98"/>
      <c r="AB27" s="98"/>
      <c r="AC27" s="91"/>
      <c r="AD27" s="98"/>
      <c r="AE27" s="98"/>
      <c r="AF27" s="98"/>
      <c r="AG27" s="91"/>
      <c r="AH27" s="304">
        <v>1</v>
      </c>
      <c r="AI27" s="299">
        <f>+AH27*G27*D27*0.17</f>
        <v>0.79428957965000013</v>
      </c>
      <c r="AK27" s="301">
        <f t="shared" si="35"/>
        <v>7.0049349999999997</v>
      </c>
      <c r="AL27" s="301">
        <f t="shared" si="36"/>
        <v>0</v>
      </c>
      <c r="AM27" s="301"/>
      <c r="AN27" s="301"/>
      <c r="AO27" s="299"/>
      <c r="AP27" s="301">
        <f t="shared" si="46"/>
        <v>45.942643745285011</v>
      </c>
      <c r="AQ27" s="301"/>
      <c r="AT27" s="28">
        <f t="shared" si="13"/>
        <v>7.0049349999999997</v>
      </c>
    </row>
    <row r="28" spans="2:46" s="28" customFormat="1" ht="20.100000000000001" customHeight="1" x14ac:dyDescent="0.3">
      <c r="B28" s="369"/>
      <c r="C28" s="370"/>
      <c r="D28" s="371"/>
      <c r="E28" s="369"/>
      <c r="F28" s="369"/>
      <c r="G28" s="371"/>
      <c r="H28" s="371"/>
      <c r="I28" s="374"/>
      <c r="J28" s="397"/>
      <c r="K28" s="398"/>
      <c r="L28" s="398"/>
      <c r="M28" s="397"/>
      <c r="N28" s="398"/>
      <c r="O28" s="398"/>
      <c r="P28" s="397"/>
      <c r="Q28" s="398"/>
      <c r="R28" s="398"/>
      <c r="S28" s="399"/>
      <c r="T28" s="399"/>
      <c r="U28" s="369"/>
      <c r="V28" s="373"/>
      <c r="W28" s="374"/>
      <c r="X28" s="374"/>
      <c r="Y28" s="374"/>
      <c r="Z28" s="374"/>
      <c r="AA28" s="374"/>
      <c r="AB28" s="374"/>
      <c r="AC28" s="400"/>
      <c r="AD28" s="374"/>
      <c r="AE28" s="374"/>
      <c r="AF28" s="374"/>
      <c r="AG28" s="400"/>
      <c r="AH28" s="401"/>
      <c r="AI28" s="374"/>
      <c r="AK28" s="378"/>
      <c r="AL28" s="378"/>
      <c r="AM28" s="378"/>
      <c r="AN28" s="378"/>
      <c r="AO28" s="374"/>
      <c r="AP28" s="378"/>
      <c r="AQ28" s="378"/>
      <c r="AT28" s="28">
        <f t="shared" si="13"/>
        <v>0</v>
      </c>
    </row>
    <row r="29" spans="2:46" s="28" customFormat="1" ht="20.100000000000001" customHeight="1" x14ac:dyDescent="0.3">
      <c r="B29" s="437"/>
      <c r="C29" s="97" t="s">
        <v>381</v>
      </c>
      <c r="D29" s="369"/>
      <c r="E29" s="369"/>
      <c r="F29" s="369"/>
      <c r="G29" s="369"/>
      <c r="H29" s="369"/>
      <c r="I29" s="374"/>
      <c r="J29" s="397"/>
      <c r="K29" s="398"/>
      <c r="L29" s="398"/>
      <c r="M29" s="397"/>
      <c r="N29" s="398"/>
      <c r="O29" s="398"/>
      <c r="P29" s="397"/>
      <c r="Q29" s="398"/>
      <c r="R29" s="398"/>
      <c r="S29" s="399"/>
      <c r="T29" s="399"/>
      <c r="U29" s="369"/>
      <c r="V29" s="373"/>
      <c r="W29" s="374"/>
      <c r="X29" s="374"/>
      <c r="Y29" s="374"/>
      <c r="Z29" s="374"/>
      <c r="AA29" s="374"/>
      <c r="AB29" s="374"/>
      <c r="AC29" s="400"/>
      <c r="AD29" s="378"/>
      <c r="AE29" s="378"/>
      <c r="AF29" s="378"/>
      <c r="AG29" s="400"/>
      <c r="AH29" s="438"/>
      <c r="AI29" s="378"/>
      <c r="AK29" s="378"/>
      <c r="AL29" s="378"/>
      <c r="AM29" s="378"/>
      <c r="AN29" s="378"/>
      <c r="AO29" s="374"/>
      <c r="AP29" s="378"/>
      <c r="AQ29" s="378"/>
      <c r="AT29" s="28">
        <f t="shared" si="13"/>
        <v>0</v>
      </c>
    </row>
    <row r="30" spans="2:46" s="28" customFormat="1" ht="19.5" customHeight="1" x14ac:dyDescent="0.3">
      <c r="B30" s="18"/>
      <c r="C30" s="62" t="s">
        <v>33</v>
      </c>
      <c r="D30" s="298">
        <v>0.66700000000000004</v>
      </c>
      <c r="E30" s="18">
        <v>1</v>
      </c>
      <c r="F30" s="18">
        <v>1</v>
      </c>
      <c r="G30" s="556">
        <f>+(1.2+1.702+3.108)*3.281</f>
        <v>19.718810000000001</v>
      </c>
      <c r="H30" s="20">
        <f t="shared" ref="H30" si="48">+D30</f>
        <v>0.66700000000000004</v>
      </c>
      <c r="I30" s="224">
        <f>18/12</f>
        <v>1.5</v>
      </c>
      <c r="J30" s="81">
        <f>3</f>
        <v>3</v>
      </c>
      <c r="K30" s="103">
        <f t="shared" ref="K30" si="49">+IF(D30=0.667,E30*F30*G30*H30*J30,0)</f>
        <v>39.45733881000001</v>
      </c>
      <c r="L30" s="103">
        <f t="shared" ref="L30" si="50">+IF(D30=0.333,E30*F30*G30*J30,0)</f>
        <v>0</v>
      </c>
      <c r="M30" s="81">
        <v>4</v>
      </c>
      <c r="N30" s="103">
        <f t="shared" ref="N30" si="51">+IF(D30=0.667,E30*F30*G30*H30*M30,0)</f>
        <v>52.609785080000009</v>
      </c>
      <c r="O30" s="103">
        <f t="shared" ref="O30" si="52">+IF(D30=0.333,E30*F30*G30*M30,0)</f>
        <v>0</v>
      </c>
      <c r="P30" s="81">
        <f>11.833-I30-M30-J30</f>
        <v>3.3330000000000002</v>
      </c>
      <c r="Q30" s="103">
        <f t="shared" ref="Q30" si="53">+IF(D30=0.667,E30*F30*G30*H30*P30,0)</f>
        <v>43.837103417910008</v>
      </c>
      <c r="R30" s="103">
        <f t="shared" ref="R30" si="54">+IF(D30=0.333,E30*F30*G30*P30,0)</f>
        <v>0</v>
      </c>
      <c r="S30" s="104">
        <f t="shared" ref="S30:T30" si="55">+Q30+N30+K30</f>
        <v>135.90422730791002</v>
      </c>
      <c r="T30" s="104">
        <f t="shared" si="55"/>
        <v>0</v>
      </c>
      <c r="U30" s="18"/>
      <c r="V30" s="26"/>
      <c r="W30" s="21"/>
      <c r="X30" s="21"/>
      <c r="Y30" s="21"/>
      <c r="Z30" s="21"/>
      <c r="AA30" s="21"/>
      <c r="AB30" s="21"/>
      <c r="AC30" s="27"/>
      <c r="AD30" s="21"/>
      <c r="AE30" s="21"/>
      <c r="AF30" s="21"/>
      <c r="AG30" s="27"/>
      <c r="AH30" s="396">
        <v>1</v>
      </c>
      <c r="AI30" s="21">
        <f t="shared" ref="AI30" si="56">+AH30*G30*D30*0.17</f>
        <v>2.2359158659000005</v>
      </c>
      <c r="AK30" s="301">
        <f>+IF(D30=0.667,E30*F30*G30,0)</f>
        <v>19.718810000000001</v>
      </c>
      <c r="AL30" s="301">
        <f>+IF(D30=0.333,E30*F30*G30,0)</f>
        <v>0</v>
      </c>
      <c r="AM30" s="301"/>
      <c r="AN30" s="301"/>
      <c r="AO30" s="299"/>
      <c r="AP30" s="301"/>
      <c r="AQ30" s="301"/>
      <c r="AT30" s="28">
        <f t="shared" si="13"/>
        <v>19.718810000000001</v>
      </c>
    </row>
    <row r="31" spans="2:46" s="28" customFormat="1" ht="20.100000000000001" customHeight="1" x14ac:dyDescent="0.3">
      <c r="B31" s="369"/>
      <c r="C31" s="370"/>
      <c r="D31" s="371"/>
      <c r="E31" s="369"/>
      <c r="F31" s="369"/>
      <c r="G31" s="371"/>
      <c r="H31" s="371"/>
      <c r="I31" s="374"/>
      <c r="J31" s="397"/>
      <c r="K31" s="398"/>
      <c r="L31" s="398"/>
      <c r="M31" s="397"/>
      <c r="N31" s="398"/>
      <c r="O31" s="398"/>
      <c r="P31" s="397"/>
      <c r="Q31" s="398"/>
      <c r="R31" s="398"/>
      <c r="S31" s="399"/>
      <c r="T31" s="399"/>
      <c r="U31" s="369"/>
      <c r="V31" s="373"/>
      <c r="W31" s="374"/>
      <c r="X31" s="374"/>
      <c r="Y31" s="374"/>
      <c r="Z31" s="374"/>
      <c r="AA31" s="374"/>
      <c r="AB31" s="374"/>
      <c r="AC31" s="400"/>
      <c r="AD31" s="374"/>
      <c r="AE31" s="374"/>
      <c r="AF31" s="374"/>
      <c r="AG31" s="400"/>
      <c r="AH31" s="401"/>
      <c r="AI31" s="374"/>
      <c r="AK31" s="378"/>
      <c r="AL31" s="378"/>
      <c r="AM31" s="378"/>
      <c r="AN31" s="378"/>
      <c r="AO31" s="374"/>
      <c r="AP31" s="378"/>
      <c r="AQ31" s="378"/>
      <c r="AT31" s="28">
        <f t="shared" si="13"/>
        <v>0</v>
      </c>
    </row>
    <row r="32" spans="2:46" s="28" customFormat="1" ht="20.100000000000001" customHeight="1" x14ac:dyDescent="0.3">
      <c r="B32" s="437"/>
      <c r="C32" s="97" t="s">
        <v>382</v>
      </c>
      <c r="D32" s="369"/>
      <c r="E32" s="369"/>
      <c r="F32" s="369"/>
      <c r="G32" s="369"/>
      <c r="H32" s="369"/>
      <c r="I32" s="374"/>
      <c r="J32" s="397"/>
      <c r="K32" s="398"/>
      <c r="L32" s="398"/>
      <c r="M32" s="397"/>
      <c r="N32" s="398"/>
      <c r="O32" s="398"/>
      <c r="P32" s="397"/>
      <c r="Q32" s="398"/>
      <c r="R32" s="398"/>
      <c r="S32" s="399"/>
      <c r="T32" s="399"/>
      <c r="U32" s="369"/>
      <c r="V32" s="373"/>
      <c r="W32" s="374"/>
      <c r="X32" s="374"/>
      <c r="Y32" s="374"/>
      <c r="Z32" s="374"/>
      <c r="AA32" s="374"/>
      <c r="AB32" s="374"/>
      <c r="AC32" s="400"/>
      <c r="AD32" s="378"/>
      <c r="AE32" s="378"/>
      <c r="AF32" s="378"/>
      <c r="AG32" s="400"/>
      <c r="AH32" s="438"/>
      <c r="AI32" s="378"/>
      <c r="AK32" s="378"/>
      <c r="AL32" s="378"/>
      <c r="AM32" s="378"/>
      <c r="AN32" s="378"/>
      <c r="AO32" s="374"/>
      <c r="AP32" s="378"/>
      <c r="AQ32" s="378"/>
      <c r="AT32" s="28">
        <f t="shared" si="13"/>
        <v>0</v>
      </c>
    </row>
    <row r="33" spans="2:46" s="28" customFormat="1" ht="19.5" customHeight="1" x14ac:dyDescent="0.3">
      <c r="B33" s="18"/>
      <c r="C33" s="62" t="s">
        <v>33</v>
      </c>
      <c r="D33" s="298">
        <v>0.66700000000000004</v>
      </c>
      <c r="E33" s="18">
        <v>1</v>
      </c>
      <c r="F33" s="18">
        <v>1</v>
      </c>
      <c r="G33" s="556">
        <f>+(4.734)*3.281</f>
        <v>15.532254</v>
      </c>
      <c r="H33" s="20">
        <f t="shared" ref="H33:H38" si="57">+D33</f>
        <v>0.66700000000000004</v>
      </c>
      <c r="I33" s="224">
        <f>18/12</f>
        <v>1.5</v>
      </c>
      <c r="J33" s="81">
        <f>3</f>
        <v>3</v>
      </c>
      <c r="K33" s="103">
        <f t="shared" ref="K33:K38" si="58">+IF(D33=0.667,E33*F33*G33*H33*J33,0)</f>
        <v>31.080040254000004</v>
      </c>
      <c r="L33" s="103">
        <f t="shared" ref="L33:L38" si="59">+IF(D33=0.333,E33*F33*G33*J33,0)</f>
        <v>0</v>
      </c>
      <c r="M33" s="81">
        <v>4</v>
      </c>
      <c r="N33" s="103">
        <f t="shared" ref="N33:N38" si="60">+IF(D33=0.667,E33*F33*G33*H33*M33,0)</f>
        <v>41.440053672000005</v>
      </c>
      <c r="O33" s="103">
        <f t="shared" ref="O33:O38" si="61">+IF(D33=0.333,E33*F33*G33*M33,0)</f>
        <v>0</v>
      </c>
      <c r="P33" s="81">
        <f>11.833-I33-M33-J33</f>
        <v>3.3330000000000002</v>
      </c>
      <c r="Q33" s="103">
        <f t="shared" ref="Q33:Q38" si="62">+IF(D33=0.667,E33*F33*G33*H33*P33,0)</f>
        <v>34.529924722194004</v>
      </c>
      <c r="R33" s="103">
        <f t="shared" ref="R33:R38" si="63">+IF(D33=0.333,E33*F33*G33*P33,0)</f>
        <v>0</v>
      </c>
      <c r="S33" s="104">
        <f t="shared" ref="S33:T38" si="64">+Q33+N33+K33</f>
        <v>107.05001864819403</v>
      </c>
      <c r="T33" s="104">
        <f t="shared" si="64"/>
        <v>0</v>
      </c>
      <c r="U33" s="18"/>
      <c r="V33" s="26"/>
      <c r="W33" s="21"/>
      <c r="X33" s="21"/>
      <c r="Y33" s="21"/>
      <c r="Z33" s="21"/>
      <c r="AA33" s="21"/>
      <c r="AB33" s="21"/>
      <c r="AC33" s="27"/>
      <c r="AD33" s="21"/>
      <c r="AE33" s="21"/>
      <c r="AF33" s="21"/>
      <c r="AG33" s="27"/>
      <c r="AH33" s="396">
        <v>1</v>
      </c>
      <c r="AI33" s="21">
        <f t="shared" ref="AI33:AI38" si="65">+AH33*G33*D33*0.17</f>
        <v>1.7612022810600003</v>
      </c>
      <c r="AK33" s="301">
        <f>+IF(D33=0.667,E33*F33*G33,0)</f>
        <v>15.532254</v>
      </c>
      <c r="AL33" s="301">
        <f>+IF(D33=0.333,E33*F33*G33,0)</f>
        <v>0</v>
      </c>
      <c r="AM33" s="301"/>
      <c r="AN33" s="301"/>
      <c r="AO33" s="299"/>
      <c r="AP33" s="301"/>
      <c r="AQ33" s="301"/>
      <c r="AT33" s="28">
        <f t="shared" si="13"/>
        <v>15.532254</v>
      </c>
    </row>
    <row r="34" spans="2:46" s="28" customFormat="1" ht="20.100000000000001" customHeight="1" x14ac:dyDescent="0.3">
      <c r="B34" s="18"/>
      <c r="C34" s="62" t="s">
        <v>35</v>
      </c>
      <c r="D34" s="98">
        <v>0.66700000000000004</v>
      </c>
      <c r="E34" s="18">
        <v>-1</v>
      </c>
      <c r="F34" s="18">
        <v>1</v>
      </c>
      <c r="G34" s="556">
        <v>3.25</v>
      </c>
      <c r="H34" s="20">
        <f t="shared" si="57"/>
        <v>0.66700000000000004</v>
      </c>
      <c r="I34" s="21"/>
      <c r="J34" s="81">
        <v>3</v>
      </c>
      <c r="K34" s="103">
        <f t="shared" si="58"/>
        <v>-6.5032500000000013</v>
      </c>
      <c r="L34" s="103">
        <f t="shared" si="59"/>
        <v>0</v>
      </c>
      <c r="M34" s="81">
        <v>4</v>
      </c>
      <c r="N34" s="103">
        <f t="shared" si="60"/>
        <v>-8.6710000000000012</v>
      </c>
      <c r="O34" s="103">
        <f t="shared" si="61"/>
        <v>0</v>
      </c>
      <c r="P34" s="81"/>
      <c r="Q34" s="103">
        <f t="shared" si="62"/>
        <v>0</v>
      </c>
      <c r="R34" s="103">
        <f t="shared" si="63"/>
        <v>0</v>
      </c>
      <c r="S34" s="104">
        <f t="shared" si="64"/>
        <v>-15.174250000000002</v>
      </c>
      <c r="T34" s="104">
        <f t="shared" si="64"/>
        <v>0</v>
      </c>
      <c r="U34" s="18"/>
      <c r="V34" s="26"/>
      <c r="W34" s="21">
        <f>+G34+D34</f>
        <v>3.9169999999999998</v>
      </c>
      <c r="X34" s="21">
        <v>0.5</v>
      </c>
      <c r="Y34" s="21">
        <f>+IF(D34=0.667,-E34*F34*H34*W34*X34,0)</f>
        <v>1.3063195000000001</v>
      </c>
      <c r="Z34" s="21">
        <f>+IF(D34=0.333,-E34*F34*H34*W34*X34,0)</f>
        <v>0</v>
      </c>
      <c r="AA34" s="21">
        <f>+F34*G34*H34</f>
        <v>2.1677500000000003</v>
      </c>
      <c r="AB34" s="21">
        <f t="shared" ref="AB34" si="66">2*F34*W34*X34</f>
        <v>3.9169999999999998</v>
      </c>
      <c r="AC34" s="27"/>
      <c r="AD34" s="21"/>
      <c r="AE34" s="21">
        <f t="shared" ref="AE34" si="67">+IF(D34=0.667,AD34*W34*H34*F34,0)</f>
        <v>0</v>
      </c>
      <c r="AF34" s="21">
        <f t="shared" ref="AF34" si="68">+IF(D34=0.333,AD34*W34*H34*F34,0)</f>
        <v>0</v>
      </c>
      <c r="AG34" s="27"/>
      <c r="AH34" s="396"/>
      <c r="AI34" s="21">
        <f t="shared" si="65"/>
        <v>0</v>
      </c>
      <c r="AK34" s="301">
        <f t="shared" ref="AK34" si="69">+IF(D34=0.667,E34*F34*G34,0)</f>
        <v>-3.25</v>
      </c>
      <c r="AL34" s="301">
        <f t="shared" ref="AL34" si="70">+IF(D34=0.333,E34*F34*G34,0)</f>
        <v>0</v>
      </c>
      <c r="AM34" s="301">
        <f>+IF(D34=0.667,1.33,0)</f>
        <v>1.33</v>
      </c>
      <c r="AN34" s="301">
        <f>+IF(D34=0.333,1.33,0)</f>
        <v>0</v>
      </c>
      <c r="AO34" s="299"/>
      <c r="AP34" s="301"/>
      <c r="AQ34" s="301"/>
      <c r="AT34" s="28">
        <f t="shared" si="13"/>
        <v>-3.25</v>
      </c>
    </row>
    <row r="35" spans="2:46" s="28" customFormat="1" ht="19.5" customHeight="1" x14ac:dyDescent="0.3">
      <c r="B35" s="18"/>
      <c r="C35" s="62" t="s">
        <v>31</v>
      </c>
      <c r="D35" s="298">
        <v>0.66700000000000004</v>
      </c>
      <c r="E35" s="18">
        <v>1</v>
      </c>
      <c r="F35" s="18">
        <v>2</v>
      </c>
      <c r="G35" s="556">
        <f>+(4.575)*3.281</f>
        <v>15.010575000000001</v>
      </c>
      <c r="H35" s="20">
        <f t="shared" si="57"/>
        <v>0.66700000000000004</v>
      </c>
      <c r="I35" s="224">
        <f>18/12</f>
        <v>1.5</v>
      </c>
      <c r="J35" s="81">
        <f>3</f>
        <v>3</v>
      </c>
      <c r="K35" s="103">
        <f t="shared" si="58"/>
        <v>60.072321150000008</v>
      </c>
      <c r="L35" s="103">
        <f t="shared" si="59"/>
        <v>0</v>
      </c>
      <c r="M35" s="81">
        <v>4</v>
      </c>
      <c r="N35" s="103">
        <f t="shared" si="60"/>
        <v>80.096428200000005</v>
      </c>
      <c r="O35" s="103">
        <f t="shared" si="61"/>
        <v>0</v>
      </c>
      <c r="P35" s="81">
        <f t="shared" ref="P35:P36" si="71">11.833-I35-M35-J35</f>
        <v>3.3330000000000002</v>
      </c>
      <c r="Q35" s="103">
        <f t="shared" si="62"/>
        <v>66.740348797650014</v>
      </c>
      <c r="R35" s="103">
        <f t="shared" si="63"/>
        <v>0</v>
      </c>
      <c r="S35" s="104">
        <f t="shared" si="64"/>
        <v>206.90909814765001</v>
      </c>
      <c r="T35" s="104">
        <f t="shared" si="64"/>
        <v>0</v>
      </c>
      <c r="U35" s="18"/>
      <c r="V35" s="26"/>
      <c r="W35" s="21"/>
      <c r="X35" s="21"/>
      <c r="Y35" s="21"/>
      <c r="Z35" s="21"/>
      <c r="AA35" s="21"/>
      <c r="AB35" s="21"/>
      <c r="AC35" s="27"/>
      <c r="AD35" s="21"/>
      <c r="AE35" s="21"/>
      <c r="AF35" s="21"/>
      <c r="AG35" s="27"/>
      <c r="AH35" s="396">
        <v>1</v>
      </c>
      <c r="AI35" s="21">
        <f t="shared" si="65"/>
        <v>1.7020490992500001</v>
      </c>
      <c r="AK35" s="301">
        <f>+IF(D35=0.667,E35*F35*G35,0)</f>
        <v>30.021150000000002</v>
      </c>
      <c r="AL35" s="301">
        <f>+IF(D35=0.333,E35*F35*G35,0)</f>
        <v>0</v>
      </c>
      <c r="AM35" s="301"/>
      <c r="AN35" s="301"/>
      <c r="AO35" s="299"/>
      <c r="AP35" s="301"/>
      <c r="AQ35" s="301"/>
      <c r="AT35" s="28">
        <f t="shared" si="13"/>
        <v>30.021150000000002</v>
      </c>
    </row>
    <row r="36" spans="2:46" s="28" customFormat="1" ht="19.5" customHeight="1" x14ac:dyDescent="0.3">
      <c r="B36" s="18"/>
      <c r="C36" s="62" t="s">
        <v>32</v>
      </c>
      <c r="D36" s="298">
        <v>0.66700000000000004</v>
      </c>
      <c r="E36" s="18">
        <v>1</v>
      </c>
      <c r="F36" s="18">
        <v>1</v>
      </c>
      <c r="G36" s="556">
        <f>+(4.187)*3.281</f>
        <v>13.737547000000001</v>
      </c>
      <c r="H36" s="20">
        <f t="shared" si="57"/>
        <v>0.66700000000000004</v>
      </c>
      <c r="I36" s="224">
        <f>18/12</f>
        <v>1.5</v>
      </c>
      <c r="J36" s="81">
        <f>3</f>
        <v>3</v>
      </c>
      <c r="K36" s="103">
        <f t="shared" si="58"/>
        <v>27.488831547000004</v>
      </c>
      <c r="L36" s="103">
        <f t="shared" si="59"/>
        <v>0</v>
      </c>
      <c r="M36" s="81">
        <v>4</v>
      </c>
      <c r="N36" s="103">
        <f t="shared" si="60"/>
        <v>36.651775396000005</v>
      </c>
      <c r="O36" s="103">
        <f t="shared" si="61"/>
        <v>0</v>
      </c>
      <c r="P36" s="81">
        <f t="shared" si="71"/>
        <v>3.3330000000000002</v>
      </c>
      <c r="Q36" s="103">
        <f t="shared" si="62"/>
        <v>30.540091848717005</v>
      </c>
      <c r="R36" s="103">
        <f t="shared" si="63"/>
        <v>0</v>
      </c>
      <c r="S36" s="104">
        <f t="shared" si="64"/>
        <v>94.680698791717006</v>
      </c>
      <c r="T36" s="104">
        <f t="shared" si="64"/>
        <v>0</v>
      </c>
      <c r="U36" s="18"/>
      <c r="V36" s="26"/>
      <c r="W36" s="21"/>
      <c r="X36" s="21"/>
      <c r="Y36" s="21"/>
      <c r="Z36" s="21"/>
      <c r="AA36" s="21"/>
      <c r="AB36" s="21"/>
      <c r="AC36" s="27"/>
      <c r="AD36" s="21"/>
      <c r="AE36" s="21"/>
      <c r="AF36" s="21"/>
      <c r="AG36" s="27"/>
      <c r="AH36" s="396">
        <v>1</v>
      </c>
      <c r="AI36" s="21">
        <f t="shared" si="65"/>
        <v>1.5577004543300004</v>
      </c>
      <c r="AK36" s="301">
        <f>+IF(D36=0.667,E36*F36*G36,0)</f>
        <v>13.737547000000001</v>
      </c>
      <c r="AL36" s="301">
        <f>+IF(D36=0.333,E36*F36*G36,0)</f>
        <v>0</v>
      </c>
      <c r="AM36" s="301"/>
      <c r="AN36" s="301"/>
      <c r="AO36" s="299"/>
      <c r="AP36" s="301"/>
      <c r="AQ36" s="301"/>
      <c r="AT36" s="28">
        <f t="shared" si="13"/>
        <v>13.737547000000001</v>
      </c>
    </row>
    <row r="37" spans="2:46" s="28" customFormat="1" ht="20.100000000000001" customHeight="1" x14ac:dyDescent="0.3">
      <c r="B37" s="92"/>
      <c r="C37" s="95" t="s">
        <v>347</v>
      </c>
      <c r="D37" s="98">
        <v>0.66700000000000004</v>
      </c>
      <c r="E37" s="92">
        <v>-1</v>
      </c>
      <c r="F37" s="18">
        <v>1</v>
      </c>
      <c r="G37" s="555">
        <v>6</v>
      </c>
      <c r="H37" s="98">
        <f t="shared" si="57"/>
        <v>0.66700000000000004</v>
      </c>
      <c r="I37" s="94"/>
      <c r="J37" s="99"/>
      <c r="K37" s="100">
        <f t="shared" si="58"/>
        <v>0</v>
      </c>
      <c r="L37" s="100">
        <f t="shared" si="59"/>
        <v>0</v>
      </c>
      <c r="M37" s="99">
        <v>4</v>
      </c>
      <c r="N37" s="100">
        <f t="shared" si="60"/>
        <v>-16.008000000000003</v>
      </c>
      <c r="O37" s="100">
        <f t="shared" si="61"/>
        <v>0</v>
      </c>
      <c r="P37" s="81">
        <v>0</v>
      </c>
      <c r="Q37" s="100">
        <f t="shared" si="62"/>
        <v>0</v>
      </c>
      <c r="R37" s="100">
        <f t="shared" si="63"/>
        <v>0</v>
      </c>
      <c r="S37" s="101">
        <f t="shared" si="64"/>
        <v>-16.008000000000003</v>
      </c>
      <c r="T37" s="101">
        <f t="shared" si="64"/>
        <v>0</v>
      </c>
      <c r="U37" s="92"/>
      <c r="V37" s="91"/>
      <c r="W37" s="102">
        <f>+G37+D37</f>
        <v>6.6669999999999998</v>
      </c>
      <c r="X37" s="98">
        <v>0.5</v>
      </c>
      <c r="Y37" s="102">
        <f>+IF(D37=0.667,-E37*F37*H37*W37*X37,0)</f>
        <v>2.2234445000000003</v>
      </c>
      <c r="Z37" s="98">
        <f>+IF(D37=0.333,-E37*F37*H37*W37*X37,0)</f>
        <v>0</v>
      </c>
      <c r="AA37" s="98">
        <f>+F37*G37*H37</f>
        <v>4.0020000000000007</v>
      </c>
      <c r="AB37" s="98">
        <f t="shared" ref="AB37" si="72">2*F37*W37*X37</f>
        <v>6.6669999999999998</v>
      </c>
      <c r="AC37" s="91"/>
      <c r="AD37" s="98">
        <v>0.16700000000000001</v>
      </c>
      <c r="AE37" s="98">
        <f t="shared" ref="AE37" si="73">+IF(D37=0.667,AD37*W37*H37*F37,0)</f>
        <v>0.74263046300000002</v>
      </c>
      <c r="AF37" s="98">
        <f t="shared" ref="AF37" si="74">+IF(D37=0.333,AD37*W37*H37*F37,0)</f>
        <v>0</v>
      </c>
      <c r="AG37" s="91"/>
      <c r="AH37" s="305"/>
      <c r="AI37" s="299">
        <f t="shared" si="65"/>
        <v>0</v>
      </c>
      <c r="AK37" s="301"/>
      <c r="AL37" s="301">
        <f t="shared" ref="AL37" si="75">+IF(D37=0.333,E37*F37*G37,0)</f>
        <v>0</v>
      </c>
      <c r="AM37" s="301"/>
      <c r="AN37" s="301"/>
      <c r="AO37" s="299"/>
      <c r="AP37" s="301"/>
      <c r="AQ37" s="301"/>
      <c r="AT37" s="28">
        <f t="shared" si="13"/>
        <v>-6</v>
      </c>
    </row>
    <row r="38" spans="2:46" s="28" customFormat="1" ht="19.5" customHeight="1" x14ac:dyDescent="0.3">
      <c r="B38" s="18"/>
      <c r="C38" s="62" t="s">
        <v>38</v>
      </c>
      <c r="D38" s="298">
        <v>0.66700000000000004</v>
      </c>
      <c r="E38" s="18">
        <v>1</v>
      </c>
      <c r="F38" s="18">
        <v>1</v>
      </c>
      <c r="G38" s="556">
        <f>+(4.775)*3.281</f>
        <v>15.666775000000001</v>
      </c>
      <c r="H38" s="20">
        <f t="shared" si="57"/>
        <v>0.66700000000000004</v>
      </c>
      <c r="I38" s="224">
        <f>18/12</f>
        <v>1.5</v>
      </c>
      <c r="J38" s="81">
        <f>3</f>
        <v>3</v>
      </c>
      <c r="K38" s="103">
        <f t="shared" si="58"/>
        <v>31.349216775000006</v>
      </c>
      <c r="L38" s="103">
        <f t="shared" si="59"/>
        <v>0</v>
      </c>
      <c r="M38" s="81">
        <v>4</v>
      </c>
      <c r="N38" s="103">
        <f t="shared" si="60"/>
        <v>41.798955700000008</v>
      </c>
      <c r="O38" s="103">
        <f t="shared" si="61"/>
        <v>0</v>
      </c>
      <c r="P38" s="81">
        <f>11.833-I38-M38-J38</f>
        <v>3.3330000000000002</v>
      </c>
      <c r="Q38" s="103">
        <f t="shared" si="62"/>
        <v>34.82897983702501</v>
      </c>
      <c r="R38" s="103">
        <f t="shared" si="63"/>
        <v>0</v>
      </c>
      <c r="S38" s="104">
        <f t="shared" si="64"/>
        <v>107.97715231202503</v>
      </c>
      <c r="T38" s="104">
        <f t="shared" si="64"/>
        <v>0</v>
      </c>
      <c r="U38" s="18"/>
      <c r="V38" s="26"/>
      <c r="W38" s="21"/>
      <c r="X38" s="21"/>
      <c r="Y38" s="21"/>
      <c r="Z38" s="21"/>
      <c r="AA38" s="21"/>
      <c r="AB38" s="21"/>
      <c r="AC38" s="27"/>
      <c r="AD38" s="21"/>
      <c r="AE38" s="21"/>
      <c r="AF38" s="21"/>
      <c r="AG38" s="27"/>
      <c r="AH38" s="396">
        <v>1</v>
      </c>
      <c r="AI38" s="21">
        <f t="shared" si="65"/>
        <v>1.7764556172500003</v>
      </c>
      <c r="AK38" s="301">
        <f>+IF(D38=0.667,E38*F38*G38,0)</f>
        <v>15.666775000000001</v>
      </c>
      <c r="AL38" s="301">
        <f>+IF(D38=0.333,E38*F38*G38,0)</f>
        <v>0</v>
      </c>
      <c r="AM38" s="301"/>
      <c r="AN38" s="301"/>
      <c r="AO38" s="299"/>
      <c r="AP38" s="301"/>
      <c r="AQ38" s="301"/>
      <c r="AT38" s="28">
        <f t="shared" si="13"/>
        <v>15.666775000000001</v>
      </c>
    </row>
    <row r="39" spans="2:46" s="28" customFormat="1" ht="20.100000000000001" customHeight="1" x14ac:dyDescent="0.3">
      <c r="B39" s="369"/>
      <c r="C39" s="370"/>
      <c r="D39" s="371"/>
      <c r="E39" s="369"/>
      <c r="F39" s="369"/>
      <c r="G39" s="371"/>
      <c r="H39" s="371"/>
      <c r="I39" s="374"/>
      <c r="J39" s="397"/>
      <c r="K39" s="398"/>
      <c r="L39" s="398"/>
      <c r="M39" s="397"/>
      <c r="N39" s="398"/>
      <c r="O39" s="398"/>
      <c r="P39" s="397"/>
      <c r="Q39" s="398"/>
      <c r="R39" s="398"/>
      <c r="S39" s="399"/>
      <c r="T39" s="399"/>
      <c r="U39" s="369"/>
      <c r="V39" s="373"/>
      <c r="W39" s="374"/>
      <c r="X39" s="374"/>
      <c r="Y39" s="374"/>
      <c r="Z39" s="374"/>
      <c r="AA39" s="374"/>
      <c r="AB39" s="374"/>
      <c r="AC39" s="400"/>
      <c r="AD39" s="374"/>
      <c r="AE39" s="374"/>
      <c r="AF39" s="374"/>
      <c r="AG39" s="400"/>
      <c r="AH39" s="401"/>
      <c r="AI39" s="374"/>
      <c r="AK39" s="378"/>
      <c r="AL39" s="378"/>
      <c r="AM39" s="378"/>
      <c r="AN39" s="378"/>
      <c r="AO39" s="374"/>
      <c r="AP39" s="378"/>
      <c r="AQ39" s="378"/>
      <c r="AT39" s="28">
        <f t="shared" si="13"/>
        <v>0</v>
      </c>
    </row>
    <row r="40" spans="2:46" s="28" customFormat="1" ht="20.100000000000001" customHeight="1" x14ac:dyDescent="0.3">
      <c r="B40" s="437"/>
      <c r="C40" s="97" t="s">
        <v>383</v>
      </c>
      <c r="D40" s="369"/>
      <c r="E40" s="369"/>
      <c r="F40" s="369"/>
      <c r="G40" s="369"/>
      <c r="H40" s="369"/>
      <c r="I40" s="374"/>
      <c r="J40" s="397"/>
      <c r="K40" s="398"/>
      <c r="L40" s="398"/>
      <c r="M40" s="397"/>
      <c r="N40" s="398"/>
      <c r="O40" s="398"/>
      <c r="P40" s="397"/>
      <c r="Q40" s="398"/>
      <c r="R40" s="398"/>
      <c r="S40" s="399"/>
      <c r="T40" s="399"/>
      <c r="U40" s="369"/>
      <c r="V40" s="373"/>
      <c r="W40" s="374"/>
      <c r="X40" s="374"/>
      <c r="Y40" s="374"/>
      <c r="Z40" s="374"/>
      <c r="AA40" s="374"/>
      <c r="AB40" s="374"/>
      <c r="AC40" s="400"/>
      <c r="AD40" s="378"/>
      <c r="AE40" s="378"/>
      <c r="AF40" s="378"/>
      <c r="AG40" s="400"/>
      <c r="AH40" s="438"/>
      <c r="AI40" s="378"/>
      <c r="AK40" s="378"/>
      <c r="AL40" s="378"/>
      <c r="AM40" s="378"/>
      <c r="AN40" s="378"/>
      <c r="AO40" s="374"/>
      <c r="AP40" s="378"/>
      <c r="AQ40" s="378"/>
      <c r="AT40" s="28">
        <f t="shared" si="13"/>
        <v>0</v>
      </c>
    </row>
    <row r="41" spans="2:46" s="28" customFormat="1" ht="19.5" customHeight="1" x14ac:dyDescent="0.3">
      <c r="B41" s="18"/>
      <c r="C41" s="62" t="s">
        <v>33</v>
      </c>
      <c r="D41" s="298">
        <v>0.33300000000000002</v>
      </c>
      <c r="E41" s="18">
        <v>1</v>
      </c>
      <c r="F41" s="18">
        <v>1</v>
      </c>
      <c r="G41" s="556">
        <f>+(3.739)*3.281</f>
        <v>12.267659</v>
      </c>
      <c r="H41" s="20">
        <f t="shared" ref="H41:H46" si="76">+D41</f>
        <v>0.33300000000000002</v>
      </c>
      <c r="I41" s="224">
        <f>18/12</f>
        <v>1.5</v>
      </c>
      <c r="J41" s="81">
        <f>3</f>
        <v>3</v>
      </c>
      <c r="K41" s="103">
        <f t="shared" ref="K41:K46" si="77">+IF(D41=0.667,E41*F41*G41*H41*J41,0)</f>
        <v>0</v>
      </c>
      <c r="L41" s="103">
        <f t="shared" ref="L41:L46" si="78">+IF(D41=0.333,E41*F41*G41*J41,0)</f>
        <v>36.802976999999998</v>
      </c>
      <c r="M41" s="81">
        <v>4</v>
      </c>
      <c r="N41" s="103">
        <f t="shared" ref="N41:N46" si="79">+IF(D41=0.667,E41*F41*G41*H41*M41,0)</f>
        <v>0</v>
      </c>
      <c r="O41" s="103">
        <f t="shared" ref="O41:O46" si="80">+IF(D41=0.333,E41*F41*G41*M41,0)</f>
        <v>49.070636</v>
      </c>
      <c r="P41" s="81">
        <f t="shared" ref="P41:P45" si="81">11.833-I41-M41-J41</f>
        <v>3.3330000000000002</v>
      </c>
      <c r="Q41" s="103">
        <f t="shared" ref="Q41:Q46" si="82">+IF(D41=0.667,E41*F41*G41*H41*P41,0)</f>
        <v>0</v>
      </c>
      <c r="R41" s="103">
        <f t="shared" ref="R41:R46" si="83">+IF(D41=0.333,E41*F41*G41*P41,0)</f>
        <v>40.888107447000003</v>
      </c>
      <c r="S41" s="104">
        <f t="shared" ref="S41:T46" si="84">+Q41+N41+K41</f>
        <v>0</v>
      </c>
      <c r="T41" s="104">
        <f t="shared" si="84"/>
        <v>126.761720447</v>
      </c>
      <c r="U41" s="18"/>
      <c r="V41" s="26"/>
      <c r="W41" s="21"/>
      <c r="X41" s="21"/>
      <c r="Y41" s="21"/>
      <c r="Z41" s="21"/>
      <c r="AA41" s="21"/>
      <c r="AB41" s="21"/>
      <c r="AC41" s="27"/>
      <c r="AD41" s="21"/>
      <c r="AE41" s="21"/>
      <c r="AF41" s="21"/>
      <c r="AG41" s="27"/>
      <c r="AH41" s="396">
        <v>1</v>
      </c>
      <c r="AI41" s="21">
        <f t="shared" ref="AI41:AI46" si="85">+AH41*G41*D41*0.17</f>
        <v>0.69447217599000011</v>
      </c>
      <c r="AK41" s="301">
        <f>+IF(D41=0.667,E41*F41*G41,0)</f>
        <v>0</v>
      </c>
      <c r="AL41" s="301">
        <f>+IF(D41=0.333,E41*F41*G41,0)</f>
        <v>12.267659</v>
      </c>
      <c r="AM41" s="301"/>
      <c r="AN41" s="301"/>
      <c r="AO41" s="299"/>
      <c r="AP41" s="301"/>
      <c r="AQ41" s="301"/>
      <c r="AT41" s="28">
        <f t="shared" si="13"/>
        <v>12.267659</v>
      </c>
    </row>
    <row r="42" spans="2:46" s="28" customFormat="1" ht="19.5" customHeight="1" x14ac:dyDescent="0.3">
      <c r="B42" s="18"/>
      <c r="C42" s="62" t="s">
        <v>33</v>
      </c>
      <c r="D42" s="298">
        <v>0.66700000000000004</v>
      </c>
      <c r="E42" s="18">
        <v>1</v>
      </c>
      <c r="F42" s="18">
        <v>1</v>
      </c>
      <c r="G42" s="556">
        <f>+(0.478)*3.281</f>
        <v>1.5683180000000001</v>
      </c>
      <c r="H42" s="20">
        <f t="shared" si="76"/>
        <v>0.66700000000000004</v>
      </c>
      <c r="I42" s="224">
        <f>18/12</f>
        <v>1.5</v>
      </c>
      <c r="J42" s="81">
        <f>3</f>
        <v>3</v>
      </c>
      <c r="K42" s="103">
        <f t="shared" si="77"/>
        <v>3.1382043180000005</v>
      </c>
      <c r="L42" s="103">
        <f t="shared" si="78"/>
        <v>0</v>
      </c>
      <c r="M42" s="81">
        <v>4</v>
      </c>
      <c r="N42" s="103">
        <f t="shared" si="79"/>
        <v>4.1842724240000004</v>
      </c>
      <c r="O42" s="103">
        <f t="shared" si="80"/>
        <v>0</v>
      </c>
      <c r="P42" s="81">
        <f t="shared" si="81"/>
        <v>3.3330000000000002</v>
      </c>
      <c r="Q42" s="103">
        <f t="shared" si="82"/>
        <v>3.4865449972980005</v>
      </c>
      <c r="R42" s="103">
        <f t="shared" si="83"/>
        <v>0</v>
      </c>
      <c r="S42" s="104">
        <f t="shared" si="84"/>
        <v>10.809021739298</v>
      </c>
      <c r="T42" s="104">
        <f t="shared" si="84"/>
        <v>0</v>
      </c>
      <c r="U42" s="18"/>
      <c r="V42" s="26"/>
      <c r="W42" s="21"/>
      <c r="X42" s="21"/>
      <c r="Y42" s="21"/>
      <c r="Z42" s="21"/>
      <c r="AA42" s="21"/>
      <c r="AB42" s="21"/>
      <c r="AC42" s="27"/>
      <c r="AD42" s="21"/>
      <c r="AE42" s="21"/>
      <c r="AF42" s="21"/>
      <c r="AG42" s="27"/>
      <c r="AH42" s="396">
        <v>1</v>
      </c>
      <c r="AI42" s="21">
        <f t="shared" si="85"/>
        <v>0.17783157802000002</v>
      </c>
      <c r="AK42" s="301">
        <f>+IF(D42=0.667,E42*F42*G42,0)</f>
        <v>1.5683180000000001</v>
      </c>
      <c r="AL42" s="301">
        <f>+IF(D42=0.333,E42*F42*G42,0)</f>
        <v>0</v>
      </c>
      <c r="AM42" s="301"/>
      <c r="AN42" s="301"/>
      <c r="AO42" s="299"/>
      <c r="AP42" s="301"/>
      <c r="AQ42" s="301"/>
      <c r="AT42" s="28">
        <f t="shared" si="13"/>
        <v>1.5683180000000001</v>
      </c>
    </row>
    <row r="43" spans="2:46" s="28" customFormat="1" ht="19.5" customHeight="1" x14ac:dyDescent="0.3">
      <c r="B43" s="18"/>
      <c r="C43" s="62" t="s">
        <v>31</v>
      </c>
      <c r="D43" s="298">
        <v>0.66700000000000004</v>
      </c>
      <c r="E43" s="18">
        <v>1</v>
      </c>
      <c r="F43" s="18">
        <v>1</v>
      </c>
      <c r="G43" s="556">
        <f>+(2.645)*3.281</f>
        <v>8.6782450000000004</v>
      </c>
      <c r="H43" s="20">
        <f t="shared" si="76"/>
        <v>0.66700000000000004</v>
      </c>
      <c r="I43" s="224">
        <f>18/12</f>
        <v>1.5</v>
      </c>
      <c r="J43" s="81">
        <f>3</f>
        <v>3</v>
      </c>
      <c r="K43" s="103">
        <f t="shared" si="77"/>
        <v>17.365168245000003</v>
      </c>
      <c r="L43" s="103">
        <f t="shared" si="78"/>
        <v>0</v>
      </c>
      <c r="M43" s="81">
        <v>4</v>
      </c>
      <c r="N43" s="103">
        <f t="shared" si="79"/>
        <v>23.153557660000004</v>
      </c>
      <c r="O43" s="103">
        <f t="shared" si="80"/>
        <v>0</v>
      </c>
      <c r="P43" s="81">
        <f t="shared" si="81"/>
        <v>3.3330000000000002</v>
      </c>
      <c r="Q43" s="103">
        <f t="shared" si="82"/>
        <v>19.292701920195004</v>
      </c>
      <c r="R43" s="103">
        <f t="shared" si="83"/>
        <v>0</v>
      </c>
      <c r="S43" s="104">
        <f t="shared" si="84"/>
        <v>59.811427825195011</v>
      </c>
      <c r="T43" s="104">
        <f t="shared" si="84"/>
        <v>0</v>
      </c>
      <c r="U43" s="18"/>
      <c r="V43" s="26"/>
      <c r="W43" s="21"/>
      <c r="X43" s="21"/>
      <c r="Y43" s="21"/>
      <c r="Z43" s="21"/>
      <c r="AA43" s="21"/>
      <c r="AB43" s="21"/>
      <c r="AC43" s="27"/>
      <c r="AD43" s="21"/>
      <c r="AE43" s="21"/>
      <c r="AF43" s="21"/>
      <c r="AG43" s="27"/>
      <c r="AH43" s="396">
        <v>1</v>
      </c>
      <c r="AI43" s="21">
        <f t="shared" si="85"/>
        <v>0.98402620055000023</v>
      </c>
      <c r="AK43" s="301">
        <f>+IF(D43=0.667,E43*F43*G43,0)</f>
        <v>8.6782450000000004</v>
      </c>
      <c r="AL43" s="301">
        <f>+IF(D43=0.333,E43*F43*G43,0)</f>
        <v>0</v>
      </c>
      <c r="AM43" s="301"/>
      <c r="AN43" s="301"/>
      <c r="AO43" s="299"/>
      <c r="AP43" s="301"/>
      <c r="AQ43" s="301"/>
      <c r="AT43" s="28">
        <f t="shared" si="13"/>
        <v>8.6782450000000004</v>
      </c>
    </row>
    <row r="44" spans="2:46" s="28" customFormat="1" ht="19.5" customHeight="1" x14ac:dyDescent="0.3">
      <c r="B44" s="18"/>
      <c r="C44" s="62" t="s">
        <v>32</v>
      </c>
      <c r="D44" s="298">
        <v>0.33300000000000002</v>
      </c>
      <c r="E44" s="18">
        <v>1</v>
      </c>
      <c r="F44" s="18">
        <v>1</v>
      </c>
      <c r="G44" s="556">
        <f>+(4.839)*3.281</f>
        <v>15.876759000000002</v>
      </c>
      <c r="H44" s="20">
        <f t="shared" si="76"/>
        <v>0.33300000000000002</v>
      </c>
      <c r="I44" s="224">
        <f>18/12</f>
        <v>1.5</v>
      </c>
      <c r="J44" s="81">
        <f>3</f>
        <v>3</v>
      </c>
      <c r="K44" s="103">
        <f t="shared" si="77"/>
        <v>0</v>
      </c>
      <c r="L44" s="103">
        <f t="shared" si="78"/>
        <v>47.630277000000007</v>
      </c>
      <c r="M44" s="81">
        <v>4</v>
      </c>
      <c r="N44" s="103">
        <f t="shared" si="79"/>
        <v>0</v>
      </c>
      <c r="O44" s="103">
        <f t="shared" si="80"/>
        <v>63.507036000000006</v>
      </c>
      <c r="P44" s="81">
        <f t="shared" si="81"/>
        <v>3.3330000000000002</v>
      </c>
      <c r="Q44" s="103">
        <f t="shared" si="82"/>
        <v>0</v>
      </c>
      <c r="R44" s="103">
        <f t="shared" si="83"/>
        <v>52.917237747000009</v>
      </c>
      <c r="S44" s="104">
        <f t="shared" si="84"/>
        <v>0</v>
      </c>
      <c r="T44" s="104">
        <f t="shared" si="84"/>
        <v>164.05455074700001</v>
      </c>
      <c r="U44" s="18"/>
      <c r="V44" s="26"/>
      <c r="W44" s="21"/>
      <c r="X44" s="21"/>
      <c r="Y44" s="21"/>
      <c r="Z44" s="21"/>
      <c r="AA44" s="21"/>
      <c r="AB44" s="21"/>
      <c r="AC44" s="27"/>
      <c r="AD44" s="21"/>
      <c r="AE44" s="21"/>
      <c r="AF44" s="21"/>
      <c r="AG44" s="27"/>
      <c r="AH44" s="396">
        <v>1</v>
      </c>
      <c r="AI44" s="21">
        <f t="shared" si="85"/>
        <v>0.8987833269900003</v>
      </c>
      <c r="AK44" s="301">
        <f>+IF(D44=0.667,E44*F44*G44,0)</f>
        <v>0</v>
      </c>
      <c r="AL44" s="301">
        <f>+IF(D44=0.333,E44*F44*G44,0)</f>
        <v>15.876759000000002</v>
      </c>
      <c r="AM44" s="301"/>
      <c r="AN44" s="301"/>
      <c r="AO44" s="299"/>
      <c r="AP44" s="301"/>
      <c r="AQ44" s="301"/>
      <c r="AT44" s="28">
        <f t="shared" si="13"/>
        <v>15.876759000000002</v>
      </c>
    </row>
    <row r="45" spans="2:46" s="28" customFormat="1" ht="19.5" customHeight="1" x14ac:dyDescent="0.3">
      <c r="B45" s="18"/>
      <c r="C45" s="62" t="s">
        <v>38</v>
      </c>
      <c r="D45" s="298">
        <v>0.33300000000000002</v>
      </c>
      <c r="E45" s="18">
        <v>1</v>
      </c>
      <c r="F45" s="18">
        <v>1</v>
      </c>
      <c r="G45" s="556">
        <f>+(2.68)*3.281</f>
        <v>8.7930800000000016</v>
      </c>
      <c r="H45" s="20">
        <f t="shared" si="76"/>
        <v>0.33300000000000002</v>
      </c>
      <c r="I45" s="224">
        <f>18/12</f>
        <v>1.5</v>
      </c>
      <c r="J45" s="81">
        <f>3</f>
        <v>3</v>
      </c>
      <c r="K45" s="103">
        <f t="shared" si="77"/>
        <v>0</v>
      </c>
      <c r="L45" s="103">
        <f t="shared" si="78"/>
        <v>26.379240000000003</v>
      </c>
      <c r="M45" s="81">
        <v>4</v>
      </c>
      <c r="N45" s="103">
        <f t="shared" si="79"/>
        <v>0</v>
      </c>
      <c r="O45" s="103">
        <f t="shared" si="80"/>
        <v>35.172320000000006</v>
      </c>
      <c r="P45" s="81">
        <f t="shared" si="81"/>
        <v>3.3330000000000002</v>
      </c>
      <c r="Q45" s="103">
        <f t="shared" si="82"/>
        <v>0</v>
      </c>
      <c r="R45" s="103">
        <f t="shared" si="83"/>
        <v>29.307335640000005</v>
      </c>
      <c r="S45" s="104">
        <f t="shared" si="84"/>
        <v>0</v>
      </c>
      <c r="T45" s="104">
        <f t="shared" si="84"/>
        <v>90.858895640000014</v>
      </c>
      <c r="U45" s="18"/>
      <c r="V45" s="26"/>
      <c r="W45" s="21"/>
      <c r="X45" s="21"/>
      <c r="Y45" s="21"/>
      <c r="Z45" s="21"/>
      <c r="AA45" s="21"/>
      <c r="AB45" s="21"/>
      <c r="AC45" s="27"/>
      <c r="AD45" s="21"/>
      <c r="AE45" s="21"/>
      <c r="AF45" s="21"/>
      <c r="AG45" s="27"/>
      <c r="AH45" s="396">
        <v>1</v>
      </c>
      <c r="AI45" s="21">
        <f t="shared" si="85"/>
        <v>0.4977762588000002</v>
      </c>
      <c r="AK45" s="301">
        <f>+IF(D45=0.667,E45*F45*G45,0)</f>
        <v>0</v>
      </c>
      <c r="AL45" s="301">
        <f>+IF(D45=0.333,E45*F45*G45,0)</f>
        <v>8.7930800000000016</v>
      </c>
      <c r="AM45" s="301"/>
      <c r="AN45" s="301"/>
      <c r="AO45" s="299"/>
      <c r="AP45" s="301"/>
      <c r="AQ45" s="301"/>
      <c r="AT45" s="28">
        <f t="shared" si="13"/>
        <v>8.7930800000000016</v>
      </c>
    </row>
    <row r="46" spans="2:46" s="28" customFormat="1" ht="20.100000000000001" customHeight="1" x14ac:dyDescent="0.3">
      <c r="B46" s="18"/>
      <c r="C46" s="62" t="s">
        <v>35</v>
      </c>
      <c r="D46" s="298">
        <v>0.33300000000000002</v>
      </c>
      <c r="E46" s="18">
        <v>-1</v>
      </c>
      <c r="F46" s="18">
        <v>1</v>
      </c>
      <c r="G46" s="556">
        <v>3.25</v>
      </c>
      <c r="H46" s="20">
        <f t="shared" si="76"/>
        <v>0.33300000000000002</v>
      </c>
      <c r="I46" s="21"/>
      <c r="J46" s="81">
        <v>3</v>
      </c>
      <c r="K46" s="103">
        <f t="shared" si="77"/>
        <v>0</v>
      </c>
      <c r="L46" s="103">
        <f t="shared" si="78"/>
        <v>-9.75</v>
      </c>
      <c r="M46" s="81">
        <v>4</v>
      </c>
      <c r="N46" s="103">
        <f t="shared" si="79"/>
        <v>0</v>
      </c>
      <c r="O46" s="103">
        <f t="shared" si="80"/>
        <v>-13</v>
      </c>
      <c r="P46" s="81"/>
      <c r="Q46" s="103">
        <f t="shared" si="82"/>
        <v>0</v>
      </c>
      <c r="R46" s="103">
        <f t="shared" si="83"/>
        <v>0</v>
      </c>
      <c r="S46" s="104">
        <f t="shared" si="84"/>
        <v>0</v>
      </c>
      <c r="T46" s="104">
        <f t="shared" si="84"/>
        <v>-22.75</v>
      </c>
      <c r="U46" s="18"/>
      <c r="V46" s="26"/>
      <c r="W46" s="21">
        <f>+G46+D46</f>
        <v>3.5830000000000002</v>
      </c>
      <c r="X46" s="21">
        <v>0.5</v>
      </c>
      <c r="Y46" s="21">
        <f>+IF(D46=0.667,-E46*F46*H46*W46*X46,0)</f>
        <v>0</v>
      </c>
      <c r="Z46" s="21">
        <f>+IF(D46=0.333,-E46*F46*H46*W46*X46,0)</f>
        <v>0.59656950000000009</v>
      </c>
      <c r="AA46" s="21">
        <f>+F46*G46*H46</f>
        <v>1.0822500000000002</v>
      </c>
      <c r="AB46" s="21">
        <f t="shared" ref="AB46" si="86">2*F46*W46*X46</f>
        <v>3.5830000000000002</v>
      </c>
      <c r="AC46" s="27"/>
      <c r="AD46" s="21"/>
      <c r="AE46" s="21">
        <f t="shared" ref="AE46" si="87">+IF(D46=0.667,AD46*W46*H46*F46,0)</f>
        <v>0</v>
      </c>
      <c r="AF46" s="21">
        <f t="shared" ref="AF46" si="88">+IF(D46=0.333,AD46*W46*H46*F46,0)</f>
        <v>0</v>
      </c>
      <c r="AG46" s="27"/>
      <c r="AH46" s="396"/>
      <c r="AI46" s="21">
        <f t="shared" si="85"/>
        <v>0</v>
      </c>
      <c r="AK46" s="301">
        <f t="shared" ref="AK46" si="89">+IF(D46=0.667,E46*F46*G46,0)</f>
        <v>0</v>
      </c>
      <c r="AL46" s="301">
        <f t="shared" ref="AL46" si="90">+IF(D46=0.333,E46*F46*G46,0)</f>
        <v>-3.25</v>
      </c>
      <c r="AM46" s="301"/>
      <c r="AN46" s="301">
        <f>+IF(D46=0.333,1.33,0)</f>
        <v>1.33</v>
      </c>
      <c r="AO46" s="299"/>
      <c r="AP46" s="301"/>
      <c r="AQ46" s="301"/>
      <c r="AT46" s="28">
        <f t="shared" si="13"/>
        <v>-3.25</v>
      </c>
    </row>
    <row r="47" spans="2:46" s="28" customFormat="1" ht="20.100000000000001" customHeight="1" x14ac:dyDescent="0.3">
      <c r="B47" s="369"/>
      <c r="C47" s="370"/>
      <c r="D47" s="371"/>
      <c r="E47" s="369"/>
      <c r="F47" s="369"/>
      <c r="G47" s="371"/>
      <c r="H47" s="371"/>
      <c r="I47" s="374"/>
      <c r="J47" s="397"/>
      <c r="K47" s="398"/>
      <c r="L47" s="398"/>
      <c r="M47" s="397"/>
      <c r="N47" s="398"/>
      <c r="O47" s="398"/>
      <c r="P47" s="397"/>
      <c r="Q47" s="398"/>
      <c r="R47" s="398"/>
      <c r="S47" s="399"/>
      <c r="T47" s="399"/>
      <c r="U47" s="369"/>
      <c r="V47" s="373"/>
      <c r="W47" s="374"/>
      <c r="X47" s="374"/>
      <c r="Y47" s="374"/>
      <c r="Z47" s="374"/>
      <c r="AA47" s="374"/>
      <c r="AB47" s="374"/>
      <c r="AC47" s="400"/>
      <c r="AD47" s="374"/>
      <c r="AE47" s="374"/>
      <c r="AF47" s="374"/>
      <c r="AG47" s="400"/>
      <c r="AH47" s="401"/>
      <c r="AI47" s="374"/>
      <c r="AK47" s="378"/>
      <c r="AL47" s="378"/>
      <c r="AM47" s="378"/>
      <c r="AN47" s="378"/>
      <c r="AO47" s="374"/>
      <c r="AP47" s="378"/>
      <c r="AQ47" s="378"/>
      <c r="AT47" s="28">
        <f t="shared" si="13"/>
        <v>0</v>
      </c>
    </row>
    <row r="48" spans="2:46" s="28" customFormat="1" ht="20.100000000000001" customHeight="1" x14ac:dyDescent="0.3">
      <c r="B48" s="92"/>
      <c r="C48" s="97" t="s">
        <v>345</v>
      </c>
      <c r="D48" s="92"/>
      <c r="E48" s="92"/>
      <c r="F48" s="92"/>
      <c r="G48" s="92"/>
      <c r="H48" s="92"/>
      <c r="I48" s="94"/>
      <c r="J48" s="92"/>
      <c r="K48" s="92"/>
      <c r="L48" s="92"/>
      <c r="M48" s="92"/>
      <c r="N48" s="92"/>
      <c r="O48" s="92"/>
      <c r="P48" s="92"/>
      <c r="Q48" s="92"/>
      <c r="R48" s="92"/>
      <c r="S48" s="92"/>
      <c r="T48" s="92"/>
      <c r="U48" s="92"/>
      <c r="V48" s="95"/>
      <c r="W48" s="92"/>
      <c r="X48" s="92"/>
      <c r="Y48" s="92"/>
      <c r="Z48" s="92"/>
      <c r="AA48" s="92"/>
      <c r="AB48" s="92"/>
      <c r="AC48" s="95"/>
      <c r="AD48" s="92"/>
      <c r="AE48" s="92"/>
      <c r="AF48" s="92"/>
      <c r="AG48" s="95"/>
      <c r="AH48" s="304"/>
      <c r="AI48" s="301"/>
      <c r="AK48" s="301"/>
      <c r="AL48" s="301"/>
      <c r="AM48" s="301"/>
      <c r="AN48" s="301"/>
      <c r="AO48" s="299"/>
      <c r="AP48" s="301"/>
      <c r="AQ48" s="301"/>
      <c r="AT48" s="28">
        <f t="shared" si="13"/>
        <v>0</v>
      </c>
    </row>
    <row r="49" spans="2:46" s="28" customFormat="1" ht="19.5" customHeight="1" x14ac:dyDescent="0.3">
      <c r="B49" s="18"/>
      <c r="C49" s="62" t="s">
        <v>33</v>
      </c>
      <c r="D49" s="298">
        <v>0.66700000000000004</v>
      </c>
      <c r="E49" s="18">
        <f>1*0</f>
        <v>0</v>
      </c>
      <c r="F49" s="18">
        <f>1*0</f>
        <v>0</v>
      </c>
      <c r="G49" s="20">
        <f>+(2.921)*3.281</f>
        <v>9.5838009999999993</v>
      </c>
      <c r="H49" s="20">
        <f t="shared" ref="H49:H57" si="91">+D49</f>
        <v>0.66700000000000004</v>
      </c>
      <c r="I49" s="224">
        <f>18/12</f>
        <v>1.5</v>
      </c>
      <c r="J49" s="81">
        <f>3</f>
        <v>3</v>
      </c>
      <c r="K49" s="103">
        <f t="shared" ref="K49:K57" si="92">+IF(D49=0.667,E49*F49*G49*H49*J49,0)</f>
        <v>0</v>
      </c>
      <c r="L49" s="103">
        <f t="shared" ref="L49:L57" si="93">+IF(D49=0.333,E49*F49*G49*J49,0)</f>
        <v>0</v>
      </c>
      <c r="M49" s="81">
        <v>4</v>
      </c>
      <c r="N49" s="103">
        <f t="shared" ref="N49:N57" si="94">+IF(D49=0.667,E49*F49*G49*H49*M49,0)</f>
        <v>0</v>
      </c>
      <c r="O49" s="103">
        <f t="shared" ref="O49:O57" si="95">+IF(D49=0.333,E49*F49*G49*M49,0)</f>
        <v>0</v>
      </c>
      <c r="P49" s="81">
        <f>11.833-I49-M49-J49</f>
        <v>3.3330000000000002</v>
      </c>
      <c r="Q49" s="103">
        <f t="shared" ref="Q49:Q57" si="96">+IF(D49=0.667,E49*F49*G49*H49*P49,0)</f>
        <v>0</v>
      </c>
      <c r="R49" s="103">
        <f t="shared" ref="R49:R57" si="97">+IF(D49=0.333,E49*F49*G49*P49,0)</f>
        <v>0</v>
      </c>
      <c r="S49" s="104">
        <f t="shared" ref="S49:T65" si="98">+Q49+N49+K49</f>
        <v>0</v>
      </c>
      <c r="T49" s="104">
        <f t="shared" si="98"/>
        <v>0</v>
      </c>
      <c r="U49" s="18"/>
      <c r="V49" s="26"/>
      <c r="W49" s="21"/>
      <c r="X49" s="21"/>
      <c r="Y49" s="21"/>
      <c r="Z49" s="21"/>
      <c r="AA49" s="21"/>
      <c r="AB49" s="21"/>
      <c r="AC49" s="27"/>
      <c r="AD49" s="21"/>
      <c r="AE49" s="21"/>
      <c r="AF49" s="21"/>
      <c r="AG49" s="27"/>
      <c r="AH49" s="396">
        <v>1</v>
      </c>
      <c r="AI49" s="21">
        <f t="shared" ref="AI49:AI57" si="99">+AH49*G49*D49*0.17</f>
        <v>1.08670719539</v>
      </c>
      <c r="AK49" s="301">
        <f>+IF(D49=0.667,E49*F49*G49,0)</f>
        <v>0</v>
      </c>
      <c r="AL49" s="301">
        <f>+IF(D49=0.333,E49*F49*G49,0)</f>
        <v>0</v>
      </c>
      <c r="AM49" s="301"/>
      <c r="AN49" s="301"/>
      <c r="AO49" s="299"/>
      <c r="AP49" s="301"/>
      <c r="AQ49" s="301"/>
      <c r="AT49" s="28">
        <f t="shared" si="13"/>
        <v>0</v>
      </c>
    </row>
    <row r="50" spans="2:46" s="28" customFormat="1" ht="20.100000000000001" customHeight="1" x14ac:dyDescent="0.3">
      <c r="B50" s="18"/>
      <c r="C50" s="62" t="s">
        <v>34</v>
      </c>
      <c r="D50" s="98">
        <v>0.66700000000000004</v>
      </c>
      <c r="E50" s="18">
        <f>-1*0</f>
        <v>0</v>
      </c>
      <c r="F50" s="18">
        <f>2*0</f>
        <v>0</v>
      </c>
      <c r="G50" s="20">
        <v>3.25</v>
      </c>
      <c r="H50" s="20">
        <f t="shared" si="91"/>
        <v>0.66700000000000004</v>
      </c>
      <c r="I50" s="21"/>
      <c r="J50" s="81">
        <v>3</v>
      </c>
      <c r="K50" s="103">
        <f t="shared" si="92"/>
        <v>0</v>
      </c>
      <c r="L50" s="103">
        <f t="shared" si="93"/>
        <v>0</v>
      </c>
      <c r="M50" s="81">
        <v>4</v>
      </c>
      <c r="N50" s="103">
        <f t="shared" si="94"/>
        <v>0</v>
      </c>
      <c r="O50" s="103">
        <f t="shared" si="95"/>
        <v>0</v>
      </c>
      <c r="P50" s="81"/>
      <c r="Q50" s="103">
        <f t="shared" si="96"/>
        <v>0</v>
      </c>
      <c r="R50" s="103">
        <f t="shared" si="97"/>
        <v>0</v>
      </c>
      <c r="S50" s="104">
        <f t="shared" si="98"/>
        <v>0</v>
      </c>
      <c r="T50" s="104">
        <f t="shared" si="98"/>
        <v>0</v>
      </c>
      <c r="U50" s="18"/>
      <c r="V50" s="26"/>
      <c r="W50" s="21">
        <f>+G50+D50</f>
        <v>3.9169999999999998</v>
      </c>
      <c r="X50" s="21">
        <v>0.5</v>
      </c>
      <c r="Y50" s="21">
        <f>+IF(D50=0.667,-E50*F50*H50*W50*X50,0)</f>
        <v>0</v>
      </c>
      <c r="Z50" s="21">
        <f>+IF(D50=0.333,-E50*F50*H50*W50*X50,0)</f>
        <v>0</v>
      </c>
      <c r="AA50" s="21">
        <f>+F50*G50*H50</f>
        <v>0</v>
      </c>
      <c r="AB50" s="21">
        <f t="shared" ref="AB50" si="100">2*F50*W50*X50</f>
        <v>0</v>
      </c>
      <c r="AC50" s="27"/>
      <c r="AD50" s="21"/>
      <c r="AE50" s="21">
        <f t="shared" ref="AE50" si="101">+IF(D50=0.667,AD50*W50*H50*F50,0)</f>
        <v>0</v>
      </c>
      <c r="AF50" s="21">
        <f t="shared" ref="AF50" si="102">+IF(D50=0.333,AD50*W50*H50*F50,0)</f>
        <v>0</v>
      </c>
      <c r="AG50" s="27"/>
      <c r="AH50" s="396"/>
      <c r="AI50" s="21">
        <f t="shared" si="99"/>
        <v>0</v>
      </c>
      <c r="AK50" s="301">
        <f t="shared" ref="AK50" si="103">+IF(D50=0.667,E50*F50*G50,0)</f>
        <v>0</v>
      </c>
      <c r="AL50" s="301">
        <f t="shared" ref="AL50" si="104">+IF(D50=0.333,E50*F50*G50,0)</f>
        <v>0</v>
      </c>
      <c r="AM50" s="301">
        <f>+IF(D50=0.667,1.33,0)*0</f>
        <v>0</v>
      </c>
      <c r="AN50" s="301">
        <f>+IF(D50=0.333,1.33,0)</f>
        <v>0</v>
      </c>
      <c r="AO50" s="299"/>
      <c r="AP50" s="301"/>
      <c r="AQ50" s="301"/>
      <c r="AT50" s="28">
        <f t="shared" si="13"/>
        <v>0</v>
      </c>
    </row>
    <row r="51" spans="2:46" s="28" customFormat="1" ht="19.5" customHeight="1" x14ac:dyDescent="0.3">
      <c r="B51" s="18"/>
      <c r="C51" s="62" t="s">
        <v>31</v>
      </c>
      <c r="D51" s="298">
        <v>0.66700000000000004</v>
      </c>
      <c r="E51" s="18">
        <v>1</v>
      </c>
      <c r="F51" s="18">
        <v>1</v>
      </c>
      <c r="G51" s="556">
        <f>+(4.303+3.781)*3.281</f>
        <v>26.523603999999999</v>
      </c>
      <c r="H51" s="20">
        <f t="shared" si="91"/>
        <v>0.66700000000000004</v>
      </c>
      <c r="I51" s="224">
        <f>18/12</f>
        <v>1.5</v>
      </c>
      <c r="J51" s="81">
        <f>3</f>
        <v>3</v>
      </c>
      <c r="K51" s="103">
        <f t="shared" si="92"/>
        <v>53.073731604000002</v>
      </c>
      <c r="L51" s="103">
        <f t="shared" si="93"/>
        <v>0</v>
      </c>
      <c r="M51" s="81">
        <v>4</v>
      </c>
      <c r="N51" s="103">
        <f t="shared" si="94"/>
        <v>70.764975472000003</v>
      </c>
      <c r="O51" s="103">
        <f t="shared" si="95"/>
        <v>0</v>
      </c>
      <c r="P51" s="81">
        <f t="shared" ref="P51:P52" si="105">11.833-I51-M51-J51</f>
        <v>3.3330000000000002</v>
      </c>
      <c r="Q51" s="103">
        <f t="shared" si="96"/>
        <v>58.964915812044005</v>
      </c>
      <c r="R51" s="103">
        <f t="shared" si="97"/>
        <v>0</v>
      </c>
      <c r="S51" s="104">
        <f t="shared" si="98"/>
        <v>182.803622888044</v>
      </c>
      <c r="T51" s="104">
        <f t="shared" si="98"/>
        <v>0</v>
      </c>
      <c r="U51" s="18"/>
      <c r="V51" s="26"/>
      <c r="W51" s="21"/>
      <c r="X51" s="21"/>
      <c r="Y51" s="21"/>
      <c r="Z51" s="21"/>
      <c r="AA51" s="21"/>
      <c r="AB51" s="21"/>
      <c r="AC51" s="27"/>
      <c r="AD51" s="21"/>
      <c r="AE51" s="21"/>
      <c r="AF51" s="21"/>
      <c r="AG51" s="27"/>
      <c r="AH51" s="396">
        <v>1</v>
      </c>
      <c r="AI51" s="21">
        <f t="shared" si="99"/>
        <v>3.0075114575600002</v>
      </c>
      <c r="AK51" s="301">
        <f>+IF(D51=0.667,E51*F51*G51,0)</f>
        <v>26.523603999999999</v>
      </c>
      <c r="AL51" s="301">
        <f>+IF(D51=0.333,E51*F51*G51,0)</f>
        <v>0</v>
      </c>
      <c r="AM51" s="301"/>
      <c r="AN51" s="301"/>
      <c r="AO51" s="299"/>
      <c r="AP51" s="301"/>
      <c r="AQ51" s="301"/>
      <c r="AT51" s="28">
        <f t="shared" si="13"/>
        <v>26.523603999999999</v>
      </c>
    </row>
    <row r="52" spans="2:46" s="28" customFormat="1" ht="19.5" customHeight="1" x14ac:dyDescent="0.3">
      <c r="B52" s="18"/>
      <c r="C52" s="62" t="s">
        <v>32</v>
      </c>
      <c r="D52" s="298">
        <v>0.66700000000000004</v>
      </c>
      <c r="E52" s="18">
        <v>1</v>
      </c>
      <c r="F52" s="18">
        <v>1</v>
      </c>
      <c r="G52" s="556">
        <f>+(7.23)*3.281</f>
        <v>23.721630000000001</v>
      </c>
      <c r="H52" s="20">
        <f t="shared" si="91"/>
        <v>0.66700000000000004</v>
      </c>
      <c r="I52" s="224">
        <f>18/12</f>
        <v>1.5</v>
      </c>
      <c r="J52" s="81">
        <f>3</f>
        <v>3</v>
      </c>
      <c r="K52" s="103">
        <f t="shared" si="92"/>
        <v>47.466981630000006</v>
      </c>
      <c r="L52" s="103">
        <f t="shared" si="93"/>
        <v>0</v>
      </c>
      <c r="M52" s="81">
        <v>4</v>
      </c>
      <c r="N52" s="103">
        <f t="shared" si="94"/>
        <v>63.289308840000004</v>
      </c>
      <c r="O52" s="103">
        <f t="shared" si="95"/>
        <v>0</v>
      </c>
      <c r="P52" s="81">
        <f t="shared" si="105"/>
        <v>3.3330000000000002</v>
      </c>
      <c r="Q52" s="103">
        <f t="shared" si="96"/>
        <v>52.735816590930007</v>
      </c>
      <c r="R52" s="103">
        <f t="shared" si="97"/>
        <v>0</v>
      </c>
      <c r="S52" s="104">
        <f t="shared" si="98"/>
        <v>163.49210706093004</v>
      </c>
      <c r="T52" s="104">
        <f t="shared" si="98"/>
        <v>0</v>
      </c>
      <c r="U52" s="18"/>
      <c r="V52" s="26"/>
      <c r="W52" s="21"/>
      <c r="X52" s="21"/>
      <c r="Y52" s="21"/>
      <c r="Z52" s="21"/>
      <c r="AA52" s="21"/>
      <c r="AB52" s="21"/>
      <c r="AC52" s="27"/>
      <c r="AD52" s="21"/>
      <c r="AE52" s="21"/>
      <c r="AF52" s="21"/>
      <c r="AG52" s="27"/>
      <c r="AH52" s="396">
        <v>1</v>
      </c>
      <c r="AI52" s="21">
        <f t="shared" si="99"/>
        <v>2.6897956257000004</v>
      </c>
      <c r="AK52" s="301">
        <f>+IF(D52=0.667,E52*F52*G52,0)</f>
        <v>23.721630000000001</v>
      </c>
      <c r="AL52" s="301">
        <f>+IF(D52=0.333,E52*F52*G52,0)</f>
        <v>0</v>
      </c>
      <c r="AM52" s="301"/>
      <c r="AN52" s="301"/>
      <c r="AO52" s="299"/>
      <c r="AP52" s="301"/>
      <c r="AQ52" s="301"/>
      <c r="AT52" s="28">
        <f t="shared" si="13"/>
        <v>23.721630000000001</v>
      </c>
    </row>
    <row r="53" spans="2:46" s="28" customFormat="1" ht="20.100000000000001" customHeight="1" x14ac:dyDescent="0.3">
      <c r="B53" s="18"/>
      <c r="C53" s="62" t="s">
        <v>246</v>
      </c>
      <c r="D53" s="298">
        <v>0.66700000000000004</v>
      </c>
      <c r="E53" s="18">
        <v>-1</v>
      </c>
      <c r="F53" s="18">
        <v>1</v>
      </c>
      <c r="G53" s="556">
        <v>2</v>
      </c>
      <c r="H53" s="20">
        <f t="shared" ref="H53" si="106">+D53</f>
        <v>0.66700000000000004</v>
      </c>
      <c r="I53" s="21"/>
      <c r="J53" s="81"/>
      <c r="K53" s="103">
        <f t="shared" ref="K53" si="107">+IF(D53=0.667,E53*F53*G53*H53*J53,0)</f>
        <v>0</v>
      </c>
      <c r="L53" s="103">
        <f t="shared" ref="L53" si="108">+IF(D53=0.333,E53*F53*G53*J53,0)</f>
        <v>0</v>
      </c>
      <c r="M53" s="81">
        <v>0</v>
      </c>
      <c r="N53" s="103">
        <f t="shared" ref="N53" si="109">+IF(D53=0.667,E53*F53*G53*H53*M53,0)</f>
        <v>0</v>
      </c>
      <c r="O53" s="103">
        <f t="shared" ref="O53" si="110">+IF(D53=0.333,E53*F53*G53*M53,0)</f>
        <v>0</v>
      </c>
      <c r="P53" s="81">
        <v>2</v>
      </c>
      <c r="Q53" s="103">
        <f t="shared" ref="Q53" si="111">+IF(D53=0.667,E53*F53*G53*H53*P53,0)</f>
        <v>-2.6680000000000001</v>
      </c>
      <c r="R53" s="103">
        <f t="shared" ref="R53" si="112">+IF(D53=0.333,E53*F53*G53*P53,0)</f>
        <v>0</v>
      </c>
      <c r="S53" s="104">
        <f t="shared" ref="S53" si="113">+Q53+N53+K53</f>
        <v>-2.6680000000000001</v>
      </c>
      <c r="T53" s="104">
        <f t="shared" ref="T53" si="114">+R53+O53+L53</f>
        <v>0</v>
      </c>
      <c r="U53" s="18"/>
      <c r="V53" s="26"/>
      <c r="W53" s="21">
        <f>+G53+D53</f>
        <v>2.6669999999999998</v>
      </c>
      <c r="X53" s="21">
        <v>0.5</v>
      </c>
      <c r="Y53" s="21">
        <f>+IF(D53=0.667,-E53*F53*H53*W53*X53,0)</f>
        <v>0.88944449999999997</v>
      </c>
      <c r="Z53" s="21">
        <f>+IF(D53=0.333,-E53*F53*H53*W53*X53,0)</f>
        <v>0</v>
      </c>
      <c r="AA53" s="21">
        <f>+F53*G53*H53</f>
        <v>1.3340000000000001</v>
      </c>
      <c r="AB53" s="21">
        <f t="shared" ref="AB53" si="115">2*F53*W53*X53</f>
        <v>2.6669999999999998</v>
      </c>
      <c r="AC53" s="27"/>
      <c r="AD53" s="21">
        <v>0.16700000000000001</v>
      </c>
      <c r="AE53" s="21">
        <f t="shared" ref="AE53" si="116">+IF(D53=0.667,AD53*W53*H53*F53,0)</f>
        <v>0.29707446300000001</v>
      </c>
      <c r="AF53" s="21">
        <f t="shared" ref="AF53" si="117">+IF(D53=0.333,AD53*W53*H53*F53,0)</f>
        <v>0</v>
      </c>
      <c r="AG53" s="27"/>
      <c r="AH53" s="396"/>
      <c r="AI53" s="21">
        <f t="shared" ref="AI53" si="118">+AH53*G53*D53*0.17</f>
        <v>0</v>
      </c>
      <c r="AK53" s="301"/>
      <c r="AL53" s="301"/>
      <c r="AM53" s="301"/>
      <c r="AN53" s="301"/>
      <c r="AO53" s="299"/>
      <c r="AP53" s="301"/>
      <c r="AQ53" s="301"/>
      <c r="AT53" s="28">
        <f t="shared" si="13"/>
        <v>-2</v>
      </c>
    </row>
    <row r="54" spans="2:46" s="28" customFormat="1" ht="20.100000000000001" customHeight="1" x14ac:dyDescent="0.3">
      <c r="B54" s="18"/>
      <c r="C54" s="62" t="s">
        <v>48</v>
      </c>
      <c r="D54" s="298">
        <v>0.66700000000000004</v>
      </c>
      <c r="E54" s="18">
        <v>-1</v>
      </c>
      <c r="F54" s="18">
        <v>2</v>
      </c>
      <c r="G54" s="556">
        <v>5</v>
      </c>
      <c r="H54" s="20">
        <f t="shared" si="91"/>
        <v>0.66700000000000004</v>
      </c>
      <c r="I54" s="21"/>
      <c r="J54" s="81"/>
      <c r="K54" s="103">
        <f t="shared" si="92"/>
        <v>0</v>
      </c>
      <c r="L54" s="103">
        <f t="shared" si="93"/>
        <v>0</v>
      </c>
      <c r="M54" s="81">
        <v>2.25</v>
      </c>
      <c r="N54" s="103">
        <f t="shared" si="94"/>
        <v>-15.0075</v>
      </c>
      <c r="O54" s="103">
        <f t="shared" si="95"/>
        <v>0</v>
      </c>
      <c r="P54" s="81"/>
      <c r="Q54" s="103">
        <f t="shared" si="96"/>
        <v>0</v>
      </c>
      <c r="R54" s="103">
        <f t="shared" si="97"/>
        <v>0</v>
      </c>
      <c r="S54" s="104">
        <f t="shared" si="98"/>
        <v>-15.0075</v>
      </c>
      <c r="T54" s="104">
        <f t="shared" si="98"/>
        <v>0</v>
      </c>
      <c r="U54" s="18"/>
      <c r="V54" s="26"/>
      <c r="W54" s="21">
        <f>+G54+D54</f>
        <v>5.6669999999999998</v>
      </c>
      <c r="X54" s="21">
        <v>0.5</v>
      </c>
      <c r="Y54" s="21">
        <f>+IF(D54=0.667,-E54*F54*H54*W54*X54,0)</f>
        <v>3.7798890000000003</v>
      </c>
      <c r="Z54" s="21">
        <f>+IF(D54=0.333,-E54*F54*H54*W54*X54,0)</f>
        <v>0</v>
      </c>
      <c r="AA54" s="21">
        <f>+F54*G54*H54</f>
        <v>6.67</v>
      </c>
      <c r="AB54" s="21">
        <f t="shared" ref="AB54" si="119">2*F54*W54*X54</f>
        <v>11.334</v>
      </c>
      <c r="AC54" s="27"/>
      <c r="AD54" s="21">
        <v>0.16700000000000001</v>
      </c>
      <c r="AE54" s="21">
        <f t="shared" ref="AE54" si="120">+IF(D54=0.667,AD54*W54*H54*F54,0)</f>
        <v>1.2624829260000001</v>
      </c>
      <c r="AF54" s="21">
        <f t="shared" ref="AF54" si="121">+IF(D54=0.333,AD54*W54*H54*F54,0)</f>
        <v>0</v>
      </c>
      <c r="AG54" s="27"/>
      <c r="AH54" s="396"/>
      <c r="AI54" s="21">
        <f t="shared" si="99"/>
        <v>0</v>
      </c>
      <c r="AK54" s="301"/>
      <c r="AL54" s="301"/>
      <c r="AM54" s="301"/>
      <c r="AN54" s="301"/>
      <c r="AO54" s="299"/>
      <c r="AP54" s="301"/>
      <c r="AQ54" s="301"/>
      <c r="AT54" s="28">
        <f t="shared" si="13"/>
        <v>-10</v>
      </c>
    </row>
    <row r="55" spans="2:46" s="28" customFormat="1" ht="19.5" customHeight="1" x14ac:dyDescent="0.3">
      <c r="B55" s="18"/>
      <c r="C55" s="62" t="s">
        <v>43</v>
      </c>
      <c r="D55" s="298">
        <v>0.66700000000000004</v>
      </c>
      <c r="E55" s="18">
        <f>1*0</f>
        <v>0</v>
      </c>
      <c r="F55" s="18">
        <f>1*0</f>
        <v>0</v>
      </c>
      <c r="G55" s="20">
        <f>+(1.274+2.075+1.274)*3.281</f>
        <v>15.168063000000002</v>
      </c>
      <c r="H55" s="20">
        <f t="shared" si="91"/>
        <v>0.66700000000000004</v>
      </c>
      <c r="I55" s="224">
        <f>18/12</f>
        <v>1.5</v>
      </c>
      <c r="J55" s="81">
        <f>3</f>
        <v>3</v>
      </c>
      <c r="K55" s="103">
        <f t="shared" si="92"/>
        <v>0</v>
      </c>
      <c r="L55" s="103">
        <f t="shared" si="93"/>
        <v>0</v>
      </c>
      <c r="M55" s="81">
        <v>4</v>
      </c>
      <c r="N55" s="103">
        <f t="shared" si="94"/>
        <v>0</v>
      </c>
      <c r="O55" s="103">
        <f t="shared" si="95"/>
        <v>0</v>
      </c>
      <c r="P55" s="81">
        <f>11.833-I55-M55-J55</f>
        <v>3.3330000000000002</v>
      </c>
      <c r="Q55" s="103">
        <f t="shared" si="96"/>
        <v>0</v>
      </c>
      <c r="R55" s="103">
        <f t="shared" si="97"/>
        <v>0</v>
      </c>
      <c r="S55" s="104">
        <f t="shared" si="98"/>
        <v>0</v>
      </c>
      <c r="T55" s="104">
        <f t="shared" si="98"/>
        <v>0</v>
      </c>
      <c r="U55" s="18"/>
      <c r="V55" s="26"/>
      <c r="W55" s="21"/>
      <c r="X55" s="21"/>
      <c r="Y55" s="21"/>
      <c r="Z55" s="21"/>
      <c r="AA55" s="21"/>
      <c r="AB55" s="21"/>
      <c r="AC55" s="27"/>
      <c r="AD55" s="21"/>
      <c r="AE55" s="21"/>
      <c r="AF55" s="21"/>
      <c r="AG55" s="27"/>
      <c r="AH55" s="396">
        <v>1</v>
      </c>
      <c r="AI55" s="21">
        <f t="shared" si="99"/>
        <v>1.7199066635700004</v>
      </c>
      <c r="AK55" s="301">
        <f>+IF(D55=0.667,E55*F55*G55,0)</f>
        <v>0</v>
      </c>
      <c r="AL55" s="301">
        <f>+IF(D55=0.333,E55*F55*G55,0)</f>
        <v>0</v>
      </c>
      <c r="AM55" s="301"/>
      <c r="AN55" s="301"/>
      <c r="AO55" s="299"/>
      <c r="AP55" s="301"/>
      <c r="AQ55" s="301"/>
      <c r="AT55" s="28">
        <f t="shared" si="13"/>
        <v>0</v>
      </c>
    </row>
    <row r="56" spans="2:46" s="28" customFormat="1" ht="20.100000000000001" customHeight="1" x14ac:dyDescent="0.3">
      <c r="B56" s="18"/>
      <c r="C56" s="62" t="s">
        <v>246</v>
      </c>
      <c r="D56" s="298">
        <v>0.66700000000000004</v>
      </c>
      <c r="E56" s="18">
        <f>-1*0</f>
        <v>0</v>
      </c>
      <c r="F56" s="18">
        <f>2*0</f>
        <v>0</v>
      </c>
      <c r="G56" s="20">
        <v>2</v>
      </c>
      <c r="H56" s="20">
        <f t="shared" si="91"/>
        <v>0.66700000000000004</v>
      </c>
      <c r="I56" s="21"/>
      <c r="J56" s="81"/>
      <c r="K56" s="103">
        <f t="shared" si="92"/>
        <v>0</v>
      </c>
      <c r="L56" s="103">
        <f t="shared" si="93"/>
        <v>0</v>
      </c>
      <c r="M56" s="81">
        <v>0</v>
      </c>
      <c r="N56" s="103">
        <f t="shared" si="94"/>
        <v>0</v>
      </c>
      <c r="O56" s="103">
        <f t="shared" si="95"/>
        <v>0</v>
      </c>
      <c r="P56" s="81">
        <v>2</v>
      </c>
      <c r="Q56" s="103">
        <f t="shared" si="96"/>
        <v>0</v>
      </c>
      <c r="R56" s="103">
        <f t="shared" si="97"/>
        <v>0</v>
      </c>
      <c r="S56" s="104">
        <f t="shared" si="98"/>
        <v>0</v>
      </c>
      <c r="T56" s="104">
        <f t="shared" si="98"/>
        <v>0</v>
      </c>
      <c r="U56" s="18"/>
      <c r="V56" s="26"/>
      <c r="W56" s="21">
        <f>+G56+D56</f>
        <v>2.6669999999999998</v>
      </c>
      <c r="X56" s="21">
        <v>0.5</v>
      </c>
      <c r="Y56" s="21">
        <f>+IF(D56=0.667,-E56*F56*H56*W56*X56,0)</f>
        <v>0</v>
      </c>
      <c r="Z56" s="21">
        <f>+IF(D56=0.333,-E56*F56*H56*W56*X56,0)</f>
        <v>0</v>
      </c>
      <c r="AA56" s="21">
        <f>+F56*G56*H56</f>
        <v>0</v>
      </c>
      <c r="AB56" s="21">
        <f t="shared" ref="AB56" si="122">2*F56*W56*X56</f>
        <v>0</v>
      </c>
      <c r="AC56" s="27"/>
      <c r="AD56" s="21">
        <v>0.16700000000000001</v>
      </c>
      <c r="AE56" s="21">
        <f t="shared" ref="AE56" si="123">+IF(D56=0.667,AD56*W56*H56*F56,0)</f>
        <v>0</v>
      </c>
      <c r="AF56" s="21">
        <f t="shared" ref="AF56" si="124">+IF(D56=0.333,AD56*W56*H56*F56,0)</f>
        <v>0</v>
      </c>
      <c r="AG56" s="27"/>
      <c r="AH56" s="396"/>
      <c r="AI56" s="21">
        <f t="shared" si="99"/>
        <v>0</v>
      </c>
      <c r="AK56" s="301"/>
      <c r="AL56" s="301"/>
      <c r="AM56" s="301"/>
      <c r="AN56" s="301"/>
      <c r="AO56" s="299"/>
      <c r="AP56" s="301"/>
      <c r="AQ56" s="301"/>
      <c r="AT56" s="28">
        <f t="shared" si="13"/>
        <v>0</v>
      </c>
    </row>
    <row r="57" spans="2:46" s="28" customFormat="1" ht="19.5" customHeight="1" x14ac:dyDescent="0.3">
      <c r="B57" s="18"/>
      <c r="C57" s="62" t="s">
        <v>38</v>
      </c>
      <c r="D57" s="298">
        <v>0.66700000000000004</v>
      </c>
      <c r="E57" s="18">
        <f t="shared" ref="E57:F59" si="125">1*0</f>
        <v>0</v>
      </c>
      <c r="F57" s="18">
        <f t="shared" si="125"/>
        <v>0</v>
      </c>
      <c r="G57" s="20">
        <f>(7.197)*3.281</f>
        <v>23.613357000000001</v>
      </c>
      <c r="H57" s="20">
        <f t="shared" si="91"/>
        <v>0.66700000000000004</v>
      </c>
      <c r="I57" s="224">
        <f>18/12</f>
        <v>1.5</v>
      </c>
      <c r="J57" s="81">
        <f>3</f>
        <v>3</v>
      </c>
      <c r="K57" s="103">
        <f t="shared" si="92"/>
        <v>0</v>
      </c>
      <c r="L57" s="103">
        <f t="shared" si="93"/>
        <v>0</v>
      </c>
      <c r="M57" s="81">
        <v>4</v>
      </c>
      <c r="N57" s="103">
        <f t="shared" si="94"/>
        <v>0</v>
      </c>
      <c r="O57" s="103">
        <f t="shared" si="95"/>
        <v>0</v>
      </c>
      <c r="P57" s="81">
        <f t="shared" ref="P57:P59" si="126">11.833-I57-M57-J57</f>
        <v>3.3330000000000002</v>
      </c>
      <c r="Q57" s="103">
        <f t="shared" si="96"/>
        <v>0</v>
      </c>
      <c r="R57" s="103">
        <f t="shared" si="97"/>
        <v>0</v>
      </c>
      <c r="S57" s="104">
        <f t="shared" si="98"/>
        <v>0</v>
      </c>
      <c r="T57" s="104">
        <f t="shared" si="98"/>
        <v>0</v>
      </c>
      <c r="U57" s="18"/>
      <c r="V57" s="26"/>
      <c r="W57" s="21"/>
      <c r="X57" s="21"/>
      <c r="Y57" s="21"/>
      <c r="Z57" s="21"/>
      <c r="AA57" s="21"/>
      <c r="AB57" s="21"/>
      <c r="AC57" s="27"/>
      <c r="AD57" s="21"/>
      <c r="AE57" s="21"/>
      <c r="AF57" s="21"/>
      <c r="AG57" s="27"/>
      <c r="AH57" s="396">
        <v>1</v>
      </c>
      <c r="AI57" s="21">
        <f t="shared" si="99"/>
        <v>2.6775185502300003</v>
      </c>
      <c r="AK57" s="301">
        <f>+IF(D57=0.667,E57*F57*G57,0)</f>
        <v>0</v>
      </c>
      <c r="AL57" s="301">
        <f>+IF(D57=0.333,E57*F57*G57,0)</f>
        <v>0</v>
      </c>
      <c r="AM57" s="301"/>
      <c r="AN57" s="301"/>
      <c r="AO57" s="299"/>
      <c r="AP57" s="301"/>
      <c r="AQ57" s="301"/>
      <c r="AT57" s="28">
        <f t="shared" si="13"/>
        <v>0</v>
      </c>
    </row>
    <row r="58" spans="2:46" s="28" customFormat="1" ht="27.6" x14ac:dyDescent="0.3">
      <c r="B58" s="92"/>
      <c r="C58" s="62" t="s">
        <v>339</v>
      </c>
      <c r="D58" s="98">
        <v>0.66700000000000004</v>
      </c>
      <c r="E58" s="18">
        <f t="shared" si="125"/>
        <v>0</v>
      </c>
      <c r="F58" s="18">
        <f t="shared" si="125"/>
        <v>0</v>
      </c>
      <c r="G58" s="98">
        <f>(2.251+2.066+3.805)*3.281</f>
        <v>26.648282000000002</v>
      </c>
      <c r="H58" s="98">
        <f>+D58</f>
        <v>0.66700000000000004</v>
      </c>
      <c r="I58" s="94">
        <v>2</v>
      </c>
      <c r="J58" s="99">
        <v>3</v>
      </c>
      <c r="K58" s="100">
        <f>+IF(D58=0.667,E58*F58*G58*H58*J58,0)</f>
        <v>0</v>
      </c>
      <c r="L58" s="100">
        <f>+IF(D58=0.333,E58*F58*G58*J58,0)</f>
        <v>0</v>
      </c>
      <c r="M58" s="99">
        <v>4</v>
      </c>
      <c r="N58" s="100">
        <f>+IF(D58=0.667,E58*F58*G58*H58*M58,0)</f>
        <v>0</v>
      </c>
      <c r="O58" s="100">
        <f>+IF(D58=0.333,E58*F58*G58*M58,0)</f>
        <v>0</v>
      </c>
      <c r="P58" s="81">
        <f t="shared" si="126"/>
        <v>2.8330000000000002</v>
      </c>
      <c r="Q58" s="100">
        <f>+IF(D58=0.667,E58*F58*G58*H58*P58,0)</f>
        <v>0</v>
      </c>
      <c r="R58" s="100">
        <f>+IF(D58=0.333,E58*F58*G58*P58,0)</f>
        <v>0</v>
      </c>
      <c r="S58" s="101">
        <f t="shared" si="98"/>
        <v>0</v>
      </c>
      <c r="T58" s="101">
        <f t="shared" si="98"/>
        <v>0</v>
      </c>
      <c r="U58" s="92"/>
      <c r="V58" s="91"/>
      <c r="W58" s="102"/>
      <c r="X58" s="98"/>
      <c r="Y58" s="102"/>
      <c r="Z58" s="98"/>
      <c r="AA58" s="98"/>
      <c r="AB58" s="98"/>
      <c r="AC58" s="91"/>
      <c r="AD58" s="98"/>
      <c r="AE58" s="98"/>
      <c r="AF58" s="98"/>
      <c r="AG58" s="91"/>
      <c r="AH58" s="304">
        <v>1</v>
      </c>
      <c r="AI58" s="299">
        <f>+AH58*G58*D58*0.17</f>
        <v>3.0216486959800006</v>
      </c>
      <c r="AK58" s="301">
        <f t="shared" ref="AK58:AK66" si="127">+IF(D58=0.667,E58*F58*G58,0)</f>
        <v>0</v>
      </c>
      <c r="AL58" s="301">
        <f t="shared" ref="AL58:AL64" si="128">+IF(D58=0.333,E58*F58*G58,0)</f>
        <v>0</v>
      </c>
      <c r="AM58" s="301"/>
      <c r="AN58" s="301"/>
      <c r="AO58" s="299"/>
      <c r="AP58" s="301"/>
      <c r="AQ58" s="301"/>
      <c r="AT58" s="28">
        <f t="shared" si="13"/>
        <v>0</v>
      </c>
    </row>
    <row r="59" spans="2:46" s="28" customFormat="1" ht="27.6" x14ac:dyDescent="0.3">
      <c r="B59" s="92"/>
      <c r="C59" s="62" t="s">
        <v>340</v>
      </c>
      <c r="D59" s="98">
        <v>0.33300000000000002</v>
      </c>
      <c r="E59" s="18">
        <f t="shared" si="125"/>
        <v>0</v>
      </c>
      <c r="F59" s="18">
        <f t="shared" si="125"/>
        <v>0</v>
      </c>
      <c r="G59" s="98">
        <f>(1.966+2.125+3.551)*3.281</f>
        <v>25.073402000000002</v>
      </c>
      <c r="H59" s="98">
        <f>+D59</f>
        <v>0.33300000000000002</v>
      </c>
      <c r="I59" s="94">
        <v>2</v>
      </c>
      <c r="J59" s="99">
        <v>3</v>
      </c>
      <c r="K59" s="100">
        <f>+IF(D59=0.667,E59*F59*G59*H59*J59,0)</f>
        <v>0</v>
      </c>
      <c r="L59" s="100">
        <f>+IF(D59=0.333,E59*F59*G59*J59,0)</f>
        <v>0</v>
      </c>
      <c r="M59" s="99">
        <v>4</v>
      </c>
      <c r="N59" s="100">
        <f>+IF(D59=0.667,E59*F59*G59*H59*M59,0)</f>
        <v>0</v>
      </c>
      <c r="O59" s="100">
        <f>+IF(D59=0.333,E59*F59*G59*M59,0)</f>
        <v>0</v>
      </c>
      <c r="P59" s="81">
        <f t="shared" si="126"/>
        <v>2.8330000000000002</v>
      </c>
      <c r="Q59" s="100">
        <f>+IF(D59=0.667,E59*F59*G59*H59*P59,0)</f>
        <v>0</v>
      </c>
      <c r="R59" s="100">
        <f>+IF(D59=0.333,E59*F59*G59*P59,0)</f>
        <v>0</v>
      </c>
      <c r="S59" s="101">
        <f t="shared" si="98"/>
        <v>0</v>
      </c>
      <c r="T59" s="101">
        <f t="shared" si="98"/>
        <v>0</v>
      </c>
      <c r="U59" s="92"/>
      <c r="V59" s="91"/>
      <c r="W59" s="102"/>
      <c r="X59" s="98"/>
      <c r="Y59" s="102"/>
      <c r="Z59" s="98"/>
      <c r="AA59" s="98"/>
      <c r="AB59" s="98"/>
      <c r="AC59" s="91"/>
      <c r="AD59" s="98"/>
      <c r="AE59" s="98"/>
      <c r="AF59" s="98"/>
      <c r="AG59" s="91"/>
      <c r="AH59" s="304">
        <v>1</v>
      </c>
      <c r="AI59" s="299">
        <f>+AH59*G59*D59*0.17</f>
        <v>1.4194052872200003</v>
      </c>
      <c r="AK59" s="301">
        <f t="shared" si="127"/>
        <v>0</v>
      </c>
      <c r="AL59" s="301">
        <f t="shared" si="128"/>
        <v>0</v>
      </c>
      <c r="AM59" s="301"/>
      <c r="AN59" s="301"/>
      <c r="AO59" s="299"/>
      <c r="AP59" s="301"/>
      <c r="AQ59" s="301"/>
      <c r="AT59" s="28">
        <f t="shared" si="13"/>
        <v>0</v>
      </c>
    </row>
    <row r="60" spans="2:46" s="28" customFormat="1" ht="20.100000000000001" customHeight="1" x14ac:dyDescent="0.3">
      <c r="B60" s="18"/>
      <c r="C60" s="62" t="s">
        <v>337</v>
      </c>
      <c r="D60" s="98">
        <v>0.33300000000000002</v>
      </c>
      <c r="E60" s="18">
        <f>-1*0</f>
        <v>0</v>
      </c>
      <c r="F60" s="18">
        <f>1*0</f>
        <v>0</v>
      </c>
      <c r="G60" s="20">
        <v>2.5</v>
      </c>
      <c r="H60" s="20">
        <f t="shared" ref="H60:H61" si="129">+D60</f>
        <v>0.33300000000000002</v>
      </c>
      <c r="I60" s="21"/>
      <c r="J60" s="81">
        <v>3</v>
      </c>
      <c r="K60" s="103">
        <f t="shared" ref="K60:K61" si="130">+IF(D60=0.667,E60*F60*G60*H60*J60,0)</f>
        <v>0</v>
      </c>
      <c r="L60" s="103">
        <f t="shared" ref="L60:L61" si="131">+IF(D60=0.333,E60*F60*G60*J60,0)</f>
        <v>0</v>
      </c>
      <c r="M60" s="81">
        <v>3</v>
      </c>
      <c r="N60" s="103">
        <f t="shared" ref="N60:N61" si="132">+IF(D60=0.667,E60*F60*G60*H60*M60,0)</f>
        <v>0</v>
      </c>
      <c r="O60" s="103">
        <f t="shared" ref="O60:O61" si="133">+IF(D60=0.333,E60*F60*G60*M60,0)</f>
        <v>0</v>
      </c>
      <c r="P60" s="81"/>
      <c r="Q60" s="103">
        <f t="shared" ref="Q60:Q61" si="134">+IF(D60=0.667,E60*F60*G60*H60*P60,0)</f>
        <v>0</v>
      </c>
      <c r="R60" s="103">
        <f t="shared" ref="R60:R61" si="135">+IF(D60=0.333,E60*F60*G60*P60,0)</f>
        <v>0</v>
      </c>
      <c r="S60" s="104">
        <f t="shared" si="98"/>
        <v>0</v>
      </c>
      <c r="T60" s="104">
        <f t="shared" si="98"/>
        <v>0</v>
      </c>
      <c r="U60" s="18"/>
      <c r="V60" s="26"/>
      <c r="W60" s="21">
        <f>+G60+D60</f>
        <v>2.8330000000000002</v>
      </c>
      <c r="X60" s="21">
        <v>0.5</v>
      </c>
      <c r="Y60" s="21">
        <f>+IF(D60=0.667,-E60*F60*H60*W60*X60,0)</f>
        <v>0</v>
      </c>
      <c r="Z60" s="21">
        <f>+IF(D60=0.333,-E60*F60*H60*W60*X60,0)</f>
        <v>0</v>
      </c>
      <c r="AA60" s="21">
        <f>+F60*G60*H60</f>
        <v>0</v>
      </c>
      <c r="AB60" s="21">
        <f t="shared" ref="AB60:AB61" si="136">2*F60*W60*X60</f>
        <v>0</v>
      </c>
      <c r="AC60" s="27"/>
      <c r="AD60" s="21"/>
      <c r="AE60" s="21">
        <f t="shared" ref="AE60:AE61" si="137">+IF(D60=0.667,AD60*W60*H60*F60,0)</f>
        <v>0</v>
      </c>
      <c r="AF60" s="21">
        <f t="shared" ref="AF60:AF61" si="138">+IF(D60=0.333,AD60*W60*H60*F60,0)</f>
        <v>0</v>
      </c>
      <c r="AG60" s="27"/>
      <c r="AH60" s="396"/>
      <c r="AI60" s="21">
        <f t="shared" ref="AI60:AI61" si="139">+AH60*G60*D60*0.17</f>
        <v>0</v>
      </c>
      <c r="AK60" s="301">
        <f t="shared" si="127"/>
        <v>0</v>
      </c>
      <c r="AL60" s="301">
        <f t="shared" si="128"/>
        <v>0</v>
      </c>
      <c r="AM60" s="301"/>
      <c r="AN60" s="301">
        <f>+IF(D60=0.333,1.33,0)*0</f>
        <v>0</v>
      </c>
      <c r="AO60" s="299"/>
      <c r="AP60" s="301"/>
      <c r="AQ60" s="301"/>
      <c r="AT60" s="28">
        <f t="shared" si="13"/>
        <v>0</v>
      </c>
    </row>
    <row r="61" spans="2:46" s="28" customFormat="1" ht="20.100000000000001" customHeight="1" x14ac:dyDescent="0.3">
      <c r="B61" s="18"/>
      <c r="C61" s="62" t="s">
        <v>341</v>
      </c>
      <c r="D61" s="98">
        <v>0.33300000000000002</v>
      </c>
      <c r="E61" s="18">
        <f>-1*0</f>
        <v>0</v>
      </c>
      <c r="F61" s="18">
        <f>1*0</f>
        <v>0</v>
      </c>
      <c r="G61" s="20">
        <v>3.25</v>
      </c>
      <c r="H61" s="20">
        <f t="shared" si="129"/>
        <v>0.33300000000000002</v>
      </c>
      <c r="I61" s="21"/>
      <c r="J61" s="81">
        <v>3</v>
      </c>
      <c r="K61" s="103">
        <f t="shared" si="130"/>
        <v>0</v>
      </c>
      <c r="L61" s="103">
        <f t="shared" si="131"/>
        <v>0</v>
      </c>
      <c r="M61" s="81">
        <v>3</v>
      </c>
      <c r="N61" s="103">
        <f t="shared" si="132"/>
        <v>0</v>
      </c>
      <c r="O61" s="103">
        <f t="shared" si="133"/>
        <v>0</v>
      </c>
      <c r="P61" s="81"/>
      <c r="Q61" s="103">
        <f t="shared" si="134"/>
        <v>0</v>
      </c>
      <c r="R61" s="103">
        <f t="shared" si="135"/>
        <v>0</v>
      </c>
      <c r="S61" s="104">
        <f t="shared" si="98"/>
        <v>0</v>
      </c>
      <c r="T61" s="104">
        <f t="shared" si="98"/>
        <v>0</v>
      </c>
      <c r="U61" s="18"/>
      <c r="V61" s="26"/>
      <c r="W61" s="21">
        <f>+G61+D61</f>
        <v>3.5830000000000002</v>
      </c>
      <c r="X61" s="21">
        <v>0.5</v>
      </c>
      <c r="Y61" s="21">
        <f>+IF(D61=0.667,-E61*F61*H61*W61*X61,0)</f>
        <v>0</v>
      </c>
      <c r="Z61" s="21">
        <f>+IF(D61=0.333,-E61*F61*H61*W61*X61,0)</f>
        <v>0</v>
      </c>
      <c r="AA61" s="21">
        <f>+F61*G61*H61</f>
        <v>0</v>
      </c>
      <c r="AB61" s="21">
        <f t="shared" si="136"/>
        <v>0</v>
      </c>
      <c r="AC61" s="27"/>
      <c r="AD61" s="21"/>
      <c r="AE61" s="21">
        <f t="shared" si="137"/>
        <v>0</v>
      </c>
      <c r="AF61" s="21">
        <f t="shared" si="138"/>
        <v>0</v>
      </c>
      <c r="AG61" s="27"/>
      <c r="AH61" s="396"/>
      <c r="AI61" s="21">
        <f t="shared" si="139"/>
        <v>0</v>
      </c>
      <c r="AK61" s="301">
        <f t="shared" si="127"/>
        <v>0</v>
      </c>
      <c r="AL61" s="301">
        <f t="shared" si="128"/>
        <v>0</v>
      </c>
      <c r="AM61" s="301"/>
      <c r="AN61" s="301">
        <f>+IF(D61=0.333,1.33,0)*0</f>
        <v>0</v>
      </c>
      <c r="AO61" s="299"/>
      <c r="AP61" s="301"/>
      <c r="AQ61" s="301"/>
      <c r="AT61" s="28">
        <f t="shared" si="13"/>
        <v>0</v>
      </c>
    </row>
    <row r="62" spans="2:46" s="28" customFormat="1" ht="20.100000000000001" customHeight="1" x14ac:dyDescent="0.3">
      <c r="B62" s="92"/>
      <c r="C62" s="62" t="s">
        <v>342</v>
      </c>
      <c r="D62" s="98">
        <v>0.33300000000000002</v>
      </c>
      <c r="E62" s="18">
        <f>1*0</f>
        <v>0</v>
      </c>
      <c r="F62" s="18">
        <f>1*0</f>
        <v>0</v>
      </c>
      <c r="G62" s="98">
        <f>(1.47+1.98+1.994+1.375+2.135)*3.281</f>
        <v>29.378074000000002</v>
      </c>
      <c r="H62" s="98">
        <f>+D62</f>
        <v>0.33300000000000002</v>
      </c>
      <c r="I62" s="94">
        <v>2</v>
      </c>
      <c r="J62" s="99">
        <v>3</v>
      </c>
      <c r="K62" s="100">
        <f>+IF(D62=0.667,E62*F62*G62*H62*J62,0)</f>
        <v>0</v>
      </c>
      <c r="L62" s="100">
        <f>+IF(D62=0.333,E62*F62*G62*J62,0)</f>
        <v>0</v>
      </c>
      <c r="M62" s="99">
        <v>4</v>
      </c>
      <c r="N62" s="100">
        <f>+IF(D62=0.667,E62*F62*G62*H62*M62,0)</f>
        <v>0</v>
      </c>
      <c r="O62" s="100">
        <f>+IF(D62=0.333,E62*F62*G62*M62,0)</f>
        <v>0</v>
      </c>
      <c r="P62" s="81">
        <f>11.833-I62-M62-J62</f>
        <v>2.8330000000000002</v>
      </c>
      <c r="Q62" s="100">
        <f>+IF(D62=0.667,E62*F62*G62*H62*P62,0)</f>
        <v>0</v>
      </c>
      <c r="R62" s="100">
        <f>+IF(D62=0.333,E62*F62*G62*P62,0)</f>
        <v>0</v>
      </c>
      <c r="S62" s="101">
        <f t="shared" si="98"/>
        <v>0</v>
      </c>
      <c r="T62" s="101">
        <f t="shared" si="98"/>
        <v>0</v>
      </c>
      <c r="U62" s="92"/>
      <c r="V62" s="91"/>
      <c r="W62" s="102"/>
      <c r="X62" s="98"/>
      <c r="Y62" s="102"/>
      <c r="Z62" s="98"/>
      <c r="AA62" s="98"/>
      <c r="AB62" s="98"/>
      <c r="AC62" s="91"/>
      <c r="AD62" s="98"/>
      <c r="AE62" s="98"/>
      <c r="AF62" s="98"/>
      <c r="AG62" s="91"/>
      <c r="AH62" s="304">
        <v>1</v>
      </c>
      <c r="AI62" s="299">
        <f>+AH62*G62*D62*0.17</f>
        <v>1.6630927691400004</v>
      </c>
      <c r="AK62" s="301">
        <f t="shared" si="127"/>
        <v>0</v>
      </c>
      <c r="AL62" s="301">
        <f t="shared" si="128"/>
        <v>0</v>
      </c>
      <c r="AM62" s="301"/>
      <c r="AN62" s="301"/>
      <c r="AO62" s="299"/>
      <c r="AP62" s="301"/>
      <c r="AQ62" s="301"/>
      <c r="AT62" s="28">
        <f t="shared" si="13"/>
        <v>0</v>
      </c>
    </row>
    <row r="63" spans="2:46" s="28" customFormat="1" ht="20.100000000000001" customHeight="1" x14ac:dyDescent="0.3">
      <c r="B63" s="18"/>
      <c r="C63" s="62" t="s">
        <v>337</v>
      </c>
      <c r="D63" s="98">
        <v>0.33300000000000002</v>
      </c>
      <c r="E63" s="18">
        <f>-1*0</f>
        <v>0</v>
      </c>
      <c r="F63" s="18">
        <f>2*0</f>
        <v>0</v>
      </c>
      <c r="G63" s="20">
        <v>2.5</v>
      </c>
      <c r="H63" s="20">
        <f t="shared" ref="H63:H66" si="140">+D63</f>
        <v>0.33300000000000002</v>
      </c>
      <c r="I63" s="21"/>
      <c r="J63" s="81">
        <v>3</v>
      </c>
      <c r="K63" s="103">
        <f t="shared" ref="K63:K66" si="141">+IF(D63=0.667,E63*F63*G63*H63*J63,0)</f>
        <v>0</v>
      </c>
      <c r="L63" s="103">
        <f t="shared" ref="L63:L66" si="142">+IF(D63=0.333,E63*F63*G63*J63,0)</f>
        <v>0</v>
      </c>
      <c r="M63" s="81">
        <v>3</v>
      </c>
      <c r="N63" s="103">
        <f t="shared" ref="N63:N66" si="143">+IF(D63=0.667,E63*F63*G63*H63*M63,0)</f>
        <v>0</v>
      </c>
      <c r="O63" s="103">
        <f t="shared" ref="O63:O66" si="144">+IF(D63=0.333,E63*F63*G63*M63,0)</f>
        <v>0</v>
      </c>
      <c r="P63" s="81"/>
      <c r="Q63" s="103">
        <f t="shared" ref="Q63:Q66" si="145">+IF(D63=0.667,E63*F63*G63*H63*P63,0)</f>
        <v>0</v>
      </c>
      <c r="R63" s="103">
        <f t="shared" ref="R63:R66" si="146">+IF(D63=0.333,E63*F63*G63*P63,0)</f>
        <v>0</v>
      </c>
      <c r="S63" s="104">
        <f t="shared" si="98"/>
        <v>0</v>
      </c>
      <c r="T63" s="104">
        <f t="shared" si="98"/>
        <v>0</v>
      </c>
      <c r="U63" s="18"/>
      <c r="V63" s="26"/>
      <c r="W63" s="21">
        <f>+G63+D63</f>
        <v>2.8330000000000002</v>
      </c>
      <c r="X63" s="21">
        <v>0.5</v>
      </c>
      <c r="Y63" s="21">
        <f>+IF(D63=0.667,-E63*F63*H63*W63*X63,0)</f>
        <v>0</v>
      </c>
      <c r="Z63" s="21">
        <f>+IF(D63=0.333,-E63*F63*H63*W63*X63,0)</f>
        <v>0</v>
      </c>
      <c r="AA63" s="21">
        <f>+F63*G63*H63</f>
        <v>0</v>
      </c>
      <c r="AB63" s="21">
        <f t="shared" ref="AB63:AB66" si="147">2*F63*W63*X63</f>
        <v>0</v>
      </c>
      <c r="AC63" s="27"/>
      <c r="AD63" s="21"/>
      <c r="AE63" s="21">
        <f t="shared" ref="AE63:AE66" si="148">+IF(D63=0.667,AD63*W63*H63*F63,0)</f>
        <v>0</v>
      </c>
      <c r="AF63" s="21">
        <f t="shared" ref="AF63:AF66" si="149">+IF(D63=0.333,AD63*W63*H63*F63,0)</f>
        <v>0</v>
      </c>
      <c r="AG63" s="27"/>
      <c r="AH63" s="396"/>
      <c r="AI63" s="21">
        <f t="shared" ref="AI63:AI66" si="150">+AH63*G63*D63*0.17</f>
        <v>0</v>
      </c>
      <c r="AK63" s="301">
        <f t="shared" si="127"/>
        <v>0</v>
      </c>
      <c r="AL63" s="301">
        <f t="shared" si="128"/>
        <v>0</v>
      </c>
      <c r="AM63" s="301"/>
      <c r="AN63" s="301">
        <f>+IF(D63=0.333,1.33,0)*0</f>
        <v>0</v>
      </c>
      <c r="AO63" s="299"/>
      <c r="AP63" s="301"/>
      <c r="AQ63" s="301"/>
      <c r="AT63" s="28">
        <f t="shared" si="13"/>
        <v>0</v>
      </c>
    </row>
    <row r="64" spans="2:46" s="28" customFormat="1" ht="20.100000000000001" customHeight="1" x14ac:dyDescent="0.3">
      <c r="B64" s="18"/>
      <c r="C64" s="62" t="s">
        <v>341</v>
      </c>
      <c r="D64" s="98">
        <v>0.33300000000000002</v>
      </c>
      <c r="E64" s="18">
        <f>-1*0</f>
        <v>0</v>
      </c>
      <c r="F64" s="18">
        <f>1*0</f>
        <v>0</v>
      </c>
      <c r="G64" s="20">
        <v>3.25</v>
      </c>
      <c r="H64" s="20">
        <f t="shared" si="140"/>
        <v>0.33300000000000002</v>
      </c>
      <c r="I64" s="21"/>
      <c r="J64" s="81">
        <v>3</v>
      </c>
      <c r="K64" s="103">
        <f t="shared" si="141"/>
        <v>0</v>
      </c>
      <c r="L64" s="103">
        <f t="shared" si="142"/>
        <v>0</v>
      </c>
      <c r="M64" s="81">
        <v>3</v>
      </c>
      <c r="N64" s="103">
        <f t="shared" si="143"/>
        <v>0</v>
      </c>
      <c r="O64" s="103">
        <f t="shared" si="144"/>
        <v>0</v>
      </c>
      <c r="P64" s="81"/>
      <c r="Q64" s="103">
        <f t="shared" si="145"/>
        <v>0</v>
      </c>
      <c r="R64" s="103">
        <f t="shared" si="146"/>
        <v>0</v>
      </c>
      <c r="S64" s="104">
        <f t="shared" si="98"/>
        <v>0</v>
      </c>
      <c r="T64" s="104">
        <f t="shared" si="98"/>
        <v>0</v>
      </c>
      <c r="U64" s="18"/>
      <c r="V64" s="26"/>
      <c r="W64" s="21">
        <f>+G64+D64</f>
        <v>3.5830000000000002</v>
      </c>
      <c r="X64" s="21">
        <v>0.5</v>
      </c>
      <c r="Y64" s="21">
        <f>+IF(D64=0.667,-E64*F64*H64*W64*X64,0)</f>
        <v>0</v>
      </c>
      <c r="Z64" s="21">
        <f>+IF(D64=0.333,-E64*F64*H64*W64*X64,0)</f>
        <v>0</v>
      </c>
      <c r="AA64" s="21">
        <f>+F64*G64*H64</f>
        <v>0</v>
      </c>
      <c r="AB64" s="21">
        <f t="shared" si="147"/>
        <v>0</v>
      </c>
      <c r="AC64" s="27"/>
      <c r="AD64" s="21"/>
      <c r="AE64" s="21">
        <f t="shared" si="148"/>
        <v>0</v>
      </c>
      <c r="AF64" s="21">
        <f t="shared" si="149"/>
        <v>0</v>
      </c>
      <c r="AG64" s="27"/>
      <c r="AH64" s="396"/>
      <c r="AI64" s="21">
        <f t="shared" si="150"/>
        <v>0</v>
      </c>
      <c r="AK64" s="301">
        <f t="shared" si="127"/>
        <v>0</v>
      </c>
      <c r="AL64" s="301">
        <f t="shared" si="128"/>
        <v>0</v>
      </c>
      <c r="AM64" s="301"/>
      <c r="AN64" s="301">
        <f>+IF(D64=0.333,1.33,0)*0</f>
        <v>0</v>
      </c>
      <c r="AO64" s="299"/>
      <c r="AP64" s="301"/>
      <c r="AQ64" s="301"/>
      <c r="AT64" s="28">
        <f t="shared" si="13"/>
        <v>0</v>
      </c>
    </row>
    <row r="65" spans="2:46" s="28" customFormat="1" ht="20.100000000000001" customHeight="1" x14ac:dyDescent="0.3">
      <c r="B65" s="18"/>
      <c r="C65" s="62" t="s">
        <v>343</v>
      </c>
      <c r="D65" s="298">
        <v>0.33300000000000002</v>
      </c>
      <c r="E65" s="18">
        <f>1*0</f>
        <v>0</v>
      </c>
      <c r="F65" s="18">
        <f>1*0</f>
        <v>0</v>
      </c>
      <c r="G65" s="20">
        <f>(1.05+1.2)*3.281</f>
        <v>7.38225</v>
      </c>
      <c r="H65" s="20">
        <f t="shared" si="140"/>
        <v>0.33300000000000002</v>
      </c>
      <c r="I65" s="21">
        <f>18/12</f>
        <v>1.5</v>
      </c>
      <c r="J65" s="81">
        <v>3</v>
      </c>
      <c r="K65" s="103">
        <f t="shared" si="141"/>
        <v>0</v>
      </c>
      <c r="L65" s="103">
        <f t="shared" si="142"/>
        <v>0</v>
      </c>
      <c r="M65" s="81"/>
      <c r="N65" s="103">
        <f t="shared" si="143"/>
        <v>0</v>
      </c>
      <c r="O65" s="103">
        <f t="shared" si="144"/>
        <v>0</v>
      </c>
      <c r="P65" s="81"/>
      <c r="Q65" s="103">
        <f t="shared" si="145"/>
        <v>0</v>
      </c>
      <c r="R65" s="103">
        <f t="shared" si="146"/>
        <v>0</v>
      </c>
      <c r="S65" s="104">
        <f t="shared" si="98"/>
        <v>0</v>
      </c>
      <c r="T65" s="104">
        <f t="shared" si="98"/>
        <v>0</v>
      </c>
      <c r="U65" s="18"/>
      <c r="V65" s="26"/>
      <c r="W65" s="21"/>
      <c r="X65" s="21"/>
      <c r="Y65" s="21"/>
      <c r="Z65" s="21"/>
      <c r="AA65" s="21"/>
      <c r="AB65" s="21">
        <f t="shared" si="147"/>
        <v>0</v>
      </c>
      <c r="AC65" s="27"/>
      <c r="AD65" s="21"/>
      <c r="AE65" s="21">
        <f t="shared" si="148"/>
        <v>0</v>
      </c>
      <c r="AF65" s="21">
        <f t="shared" si="149"/>
        <v>0</v>
      </c>
      <c r="AG65" s="27"/>
      <c r="AH65" s="396">
        <v>1</v>
      </c>
      <c r="AI65" s="21">
        <f t="shared" si="150"/>
        <v>0.41790917250000004</v>
      </c>
      <c r="AK65" s="301">
        <f t="shared" si="127"/>
        <v>0</v>
      </c>
      <c r="AL65" s="301"/>
      <c r="AM65" s="301"/>
      <c r="AN65" s="301"/>
      <c r="AO65" s="299">
        <f>+E65*F65*G65</f>
        <v>0</v>
      </c>
      <c r="AP65" s="301"/>
      <c r="AQ65" s="301"/>
      <c r="AT65" s="28">
        <f t="shared" si="13"/>
        <v>0</v>
      </c>
    </row>
    <row r="66" spans="2:46" s="28" customFormat="1" ht="20.100000000000001" customHeight="1" x14ac:dyDescent="0.3">
      <c r="B66" s="18"/>
      <c r="C66" s="62" t="s">
        <v>344</v>
      </c>
      <c r="D66" s="298">
        <v>0.33300000000000002</v>
      </c>
      <c r="E66" s="18">
        <f>1*0</f>
        <v>0</v>
      </c>
      <c r="F66" s="18">
        <f>1*0</f>
        <v>0</v>
      </c>
      <c r="G66" s="20">
        <f>(1.37+1.05+1.05)*3.281</f>
        <v>11.385069999999999</v>
      </c>
      <c r="H66" s="20">
        <f t="shared" si="140"/>
        <v>0.33300000000000002</v>
      </c>
      <c r="I66" s="21">
        <f>18/12</f>
        <v>1.5</v>
      </c>
      <c r="J66" s="81">
        <v>3</v>
      </c>
      <c r="K66" s="103">
        <f t="shared" si="141"/>
        <v>0</v>
      </c>
      <c r="L66" s="103">
        <f t="shared" si="142"/>
        <v>0</v>
      </c>
      <c r="M66" s="81"/>
      <c r="N66" s="103">
        <f t="shared" si="143"/>
        <v>0</v>
      </c>
      <c r="O66" s="103">
        <f t="shared" si="144"/>
        <v>0</v>
      </c>
      <c r="P66" s="81"/>
      <c r="Q66" s="103">
        <f t="shared" si="145"/>
        <v>0</v>
      </c>
      <c r="R66" s="103">
        <f t="shared" si="146"/>
        <v>0</v>
      </c>
      <c r="S66" s="104">
        <f t="shared" ref="S66:T66" si="151">+Q66+N66+K66</f>
        <v>0</v>
      </c>
      <c r="T66" s="104">
        <f t="shared" si="151"/>
        <v>0</v>
      </c>
      <c r="U66" s="18"/>
      <c r="V66" s="26"/>
      <c r="W66" s="21"/>
      <c r="X66" s="21"/>
      <c r="Y66" s="21"/>
      <c r="Z66" s="21"/>
      <c r="AA66" s="21"/>
      <c r="AB66" s="21">
        <f t="shared" si="147"/>
        <v>0</v>
      </c>
      <c r="AC66" s="27"/>
      <c r="AD66" s="21"/>
      <c r="AE66" s="21">
        <f t="shared" si="148"/>
        <v>0</v>
      </c>
      <c r="AF66" s="21">
        <f t="shared" si="149"/>
        <v>0</v>
      </c>
      <c r="AG66" s="27"/>
      <c r="AH66" s="396">
        <v>1</v>
      </c>
      <c r="AI66" s="21">
        <f t="shared" si="150"/>
        <v>0.64450881270000004</v>
      </c>
      <c r="AK66" s="301">
        <f t="shared" si="127"/>
        <v>0</v>
      </c>
      <c r="AL66" s="301"/>
      <c r="AM66" s="301"/>
      <c r="AN66" s="301"/>
      <c r="AO66" s="299">
        <f>+E66*F66*G66</f>
        <v>0</v>
      </c>
      <c r="AP66" s="301"/>
      <c r="AQ66" s="301"/>
      <c r="AT66" s="28">
        <f t="shared" si="13"/>
        <v>0</v>
      </c>
    </row>
    <row r="67" spans="2:46" s="28" customFormat="1" ht="20.100000000000001" customHeight="1" x14ac:dyDescent="0.3">
      <c r="B67" s="369"/>
      <c r="C67" s="370"/>
      <c r="D67" s="371"/>
      <c r="E67" s="369"/>
      <c r="F67" s="369"/>
      <c r="G67" s="371"/>
      <c r="H67" s="371"/>
      <c r="I67" s="374"/>
      <c r="J67" s="397"/>
      <c r="K67" s="398"/>
      <c r="L67" s="398"/>
      <c r="M67" s="397"/>
      <c r="N67" s="398"/>
      <c r="O67" s="398"/>
      <c r="P67" s="397"/>
      <c r="Q67" s="398"/>
      <c r="R67" s="398"/>
      <c r="S67" s="399"/>
      <c r="T67" s="399"/>
      <c r="U67" s="369"/>
      <c r="V67" s="373"/>
      <c r="W67" s="374"/>
      <c r="X67" s="374"/>
      <c r="Y67" s="374"/>
      <c r="Z67" s="374"/>
      <c r="AA67" s="374"/>
      <c r="AB67" s="374"/>
      <c r="AC67" s="400"/>
      <c r="AD67" s="374"/>
      <c r="AE67" s="374"/>
      <c r="AF67" s="374"/>
      <c r="AG67" s="400"/>
      <c r="AH67" s="401"/>
      <c r="AI67" s="374"/>
      <c r="AK67" s="378"/>
      <c r="AL67" s="378"/>
      <c r="AM67" s="378"/>
      <c r="AN67" s="378"/>
      <c r="AO67" s="374"/>
      <c r="AP67" s="378"/>
      <c r="AQ67" s="378"/>
      <c r="AT67" s="28">
        <f t="shared" si="13"/>
        <v>0</v>
      </c>
    </row>
    <row r="68" spans="2:46" s="28" customFormat="1" ht="20.100000000000001" customHeight="1" x14ac:dyDescent="0.3">
      <c r="B68" s="92"/>
      <c r="C68" s="97" t="s">
        <v>346</v>
      </c>
      <c r="D68" s="92"/>
      <c r="E68" s="92"/>
      <c r="F68" s="92"/>
      <c r="G68" s="92"/>
      <c r="H68" s="92"/>
      <c r="I68" s="94"/>
      <c r="J68" s="92"/>
      <c r="K68" s="92"/>
      <c r="L68" s="92"/>
      <c r="M68" s="92"/>
      <c r="N68" s="92"/>
      <c r="O68" s="92"/>
      <c r="P68" s="92"/>
      <c r="Q68" s="92"/>
      <c r="R68" s="92"/>
      <c r="S68" s="92"/>
      <c r="T68" s="92"/>
      <c r="U68" s="92"/>
      <c r="V68" s="95"/>
      <c r="W68" s="92"/>
      <c r="X68" s="92"/>
      <c r="Y68" s="92"/>
      <c r="Z68" s="92"/>
      <c r="AA68" s="92"/>
      <c r="AB68" s="92"/>
      <c r="AC68" s="95"/>
      <c r="AD68" s="92"/>
      <c r="AE68" s="92"/>
      <c r="AF68" s="92"/>
      <c r="AG68" s="95"/>
      <c r="AH68" s="304"/>
      <c r="AI68" s="301"/>
      <c r="AK68" s="301"/>
      <c r="AL68" s="301"/>
      <c r="AM68" s="301"/>
      <c r="AN68" s="301"/>
      <c r="AO68" s="299"/>
      <c r="AP68" s="301"/>
      <c r="AQ68" s="301"/>
      <c r="AT68" s="28">
        <f t="shared" si="13"/>
        <v>0</v>
      </c>
    </row>
    <row r="69" spans="2:46" s="28" customFormat="1" ht="20.100000000000001" customHeight="1" x14ac:dyDescent="0.3">
      <c r="B69" s="92"/>
      <c r="C69" s="62" t="s">
        <v>33</v>
      </c>
      <c r="D69" s="98">
        <v>0.33300000000000002</v>
      </c>
      <c r="E69" s="92">
        <f>1*0</f>
        <v>0</v>
      </c>
      <c r="F69" s="92">
        <f>1*0</f>
        <v>0</v>
      </c>
      <c r="G69" s="98">
        <f>(3.36+3.49)*3.281</f>
        <v>22.47485</v>
      </c>
      <c r="H69" s="98">
        <f>+D69</f>
        <v>0.33300000000000002</v>
      </c>
      <c r="I69" s="94">
        <v>2</v>
      </c>
      <c r="J69" s="99">
        <v>3</v>
      </c>
      <c r="K69" s="100">
        <f>+IF(D69=0.667,E69*F69*G69*H69*J69,0)</f>
        <v>0</v>
      </c>
      <c r="L69" s="100">
        <f>+IF(D69=0.333,E69*F69*G69*J69,0)</f>
        <v>0</v>
      </c>
      <c r="M69" s="99">
        <v>4</v>
      </c>
      <c r="N69" s="100">
        <f>+IF(D69=0.667,E69*F69*G69*H69*M69,0)</f>
        <v>0</v>
      </c>
      <c r="O69" s="100">
        <f>+IF(D69=0.333,E69*F69*G69*M69,0)</f>
        <v>0</v>
      </c>
      <c r="P69" s="81">
        <f>11.833-I69-M69-J69</f>
        <v>2.8330000000000002</v>
      </c>
      <c r="Q69" s="100">
        <f>+IF(D69=0.667,E69*F69*G69*H69*P69,0)</f>
        <v>0</v>
      </c>
      <c r="R69" s="100">
        <f>+IF(D69=0.333,E69*F69*G69*P69,0)</f>
        <v>0</v>
      </c>
      <c r="S69" s="101">
        <f t="shared" ref="S69:T84" si="152">+Q69+N69+K69</f>
        <v>0</v>
      </c>
      <c r="T69" s="101">
        <f t="shared" si="152"/>
        <v>0</v>
      </c>
      <c r="U69" s="92"/>
      <c r="V69" s="91"/>
      <c r="W69" s="102"/>
      <c r="X69" s="98"/>
      <c r="Y69" s="102"/>
      <c r="Z69" s="98"/>
      <c r="AA69" s="98"/>
      <c r="AB69" s="98"/>
      <c r="AC69" s="91"/>
      <c r="AD69" s="98"/>
      <c r="AE69" s="98"/>
      <c r="AF69" s="98"/>
      <c r="AG69" s="91"/>
      <c r="AH69" s="304">
        <v>1</v>
      </c>
      <c r="AI69" s="299">
        <f>+AH69*G69*D69*0.17</f>
        <v>1.2723012585000002</v>
      </c>
      <c r="AK69" s="301">
        <f t="shared" ref="AK69:AK72" si="153">+IF(D69=0.667,E69*F69*G69,0)</f>
        <v>0</v>
      </c>
      <c r="AL69" s="301">
        <f t="shared" ref="AL69:AL72" si="154">+IF(D69=0.333,E69*F69*G69,0)</f>
        <v>0</v>
      </c>
      <c r="AM69" s="301"/>
      <c r="AN69" s="301"/>
      <c r="AO69" s="299"/>
      <c r="AP69" s="301"/>
      <c r="AQ69" s="301"/>
      <c r="AT69" s="28">
        <f t="shared" si="13"/>
        <v>0</v>
      </c>
    </row>
    <row r="70" spans="2:46" s="28" customFormat="1" ht="20.100000000000001" customHeight="1" x14ac:dyDescent="0.3">
      <c r="B70" s="18"/>
      <c r="C70" s="62" t="s">
        <v>34</v>
      </c>
      <c r="D70" s="98">
        <v>0.33300000000000002</v>
      </c>
      <c r="E70" s="18">
        <f>-1*0</f>
        <v>0</v>
      </c>
      <c r="F70" s="18">
        <f>2*0</f>
        <v>0</v>
      </c>
      <c r="G70" s="20">
        <v>3.25</v>
      </c>
      <c r="H70" s="20">
        <f t="shared" ref="H70" si="155">+D70</f>
        <v>0.33300000000000002</v>
      </c>
      <c r="I70" s="21"/>
      <c r="J70" s="81">
        <v>3</v>
      </c>
      <c r="K70" s="103">
        <f t="shared" ref="K70" si="156">+IF(D70=0.667,E70*F70*G70*H70*J70,0)</f>
        <v>0</v>
      </c>
      <c r="L70" s="103">
        <f t="shared" ref="L70" si="157">+IF(D70=0.333,E70*F70*G70*J70,0)</f>
        <v>0</v>
      </c>
      <c r="M70" s="81">
        <v>4</v>
      </c>
      <c r="N70" s="103">
        <f t="shared" ref="N70" si="158">+IF(D70=0.667,E70*F70*G70*H70*M70,0)</f>
        <v>0</v>
      </c>
      <c r="O70" s="103">
        <f t="shared" ref="O70" si="159">+IF(D70=0.333,E70*F70*G70*M70,0)</f>
        <v>0</v>
      </c>
      <c r="P70" s="81"/>
      <c r="Q70" s="103">
        <f t="shared" ref="Q70" si="160">+IF(D70=0.667,E70*F70*G70*H70*P70,0)</f>
        <v>0</v>
      </c>
      <c r="R70" s="103">
        <f t="shared" ref="R70" si="161">+IF(D70=0.333,E70*F70*G70*P70,0)</f>
        <v>0</v>
      </c>
      <c r="S70" s="104">
        <f t="shared" si="152"/>
        <v>0</v>
      </c>
      <c r="T70" s="104">
        <f t="shared" si="152"/>
        <v>0</v>
      </c>
      <c r="U70" s="18"/>
      <c r="V70" s="26"/>
      <c r="W70" s="21">
        <f>+G70+D70</f>
        <v>3.5830000000000002</v>
      </c>
      <c r="X70" s="21">
        <v>0.5</v>
      </c>
      <c r="Y70" s="21">
        <f>+IF(D70=0.667,-E70*F70*H70*W70*X70,0)</f>
        <v>0</v>
      </c>
      <c r="Z70" s="21">
        <f>+IF(D70=0.333,-E70*F70*H70*W70*X70,0)</f>
        <v>0</v>
      </c>
      <c r="AA70" s="21">
        <f>+F70*G70*H70</f>
        <v>0</v>
      </c>
      <c r="AB70" s="21">
        <f t="shared" ref="AB70" si="162">2*F70*W70*X70</f>
        <v>0</v>
      </c>
      <c r="AC70" s="27"/>
      <c r="AD70" s="21"/>
      <c r="AE70" s="21">
        <f t="shared" ref="AE70" si="163">+IF(D70=0.667,AD70*W70*H70*F70,0)</f>
        <v>0</v>
      </c>
      <c r="AF70" s="21">
        <f t="shared" ref="AF70" si="164">+IF(D70=0.333,AD70*W70*H70*F70,0)</f>
        <v>0</v>
      </c>
      <c r="AG70" s="27"/>
      <c r="AH70" s="396"/>
      <c r="AI70" s="21">
        <f t="shared" ref="AI70" si="165">+AH70*G70*D70*0.17</f>
        <v>0</v>
      </c>
      <c r="AK70" s="301">
        <f t="shared" si="153"/>
        <v>0</v>
      </c>
      <c r="AL70" s="301">
        <f t="shared" si="154"/>
        <v>0</v>
      </c>
      <c r="AM70" s="301"/>
      <c r="AN70" s="301">
        <f>+IF(D70=0.333,1.33,0)*0</f>
        <v>0</v>
      </c>
      <c r="AO70" s="299"/>
      <c r="AP70" s="301"/>
      <c r="AQ70" s="301"/>
      <c r="AT70" s="28">
        <f t="shared" si="13"/>
        <v>0</v>
      </c>
    </row>
    <row r="71" spans="2:46" s="28" customFormat="1" ht="20.100000000000001" customHeight="1" x14ac:dyDescent="0.3">
      <c r="B71" s="92"/>
      <c r="C71" s="62" t="s">
        <v>31</v>
      </c>
      <c r="D71" s="98">
        <v>0.66700000000000004</v>
      </c>
      <c r="E71" s="92">
        <f>1*0</f>
        <v>0</v>
      </c>
      <c r="F71" s="92">
        <f>1*0</f>
        <v>0</v>
      </c>
      <c r="G71" s="98">
        <f>(5.343+4.522)*3.281</f>
        <v>32.367065000000004</v>
      </c>
      <c r="H71" s="98">
        <f>+D71</f>
        <v>0.66700000000000004</v>
      </c>
      <c r="I71" s="94">
        <v>2</v>
      </c>
      <c r="J71" s="99">
        <v>3</v>
      </c>
      <c r="K71" s="100">
        <f>+IF(D71=0.667,E71*F71*G71*H71*J71,0)</f>
        <v>0</v>
      </c>
      <c r="L71" s="100">
        <f>+IF(D71=0.333,E71*F71*G71*J71,0)</f>
        <v>0</v>
      </c>
      <c r="M71" s="99">
        <v>4</v>
      </c>
      <c r="N71" s="100">
        <f>+IF(D71=0.667,E71*F71*G71*H71*M71,0)</f>
        <v>0</v>
      </c>
      <c r="O71" s="100">
        <f>+IF(D71=0.333,E71*F71*G71*M71,0)</f>
        <v>0</v>
      </c>
      <c r="P71" s="81">
        <f t="shared" ref="P71:P72" si="166">11.833-I71-M71-J71</f>
        <v>2.8330000000000002</v>
      </c>
      <c r="Q71" s="100">
        <f>+IF(D71=0.667,E71*F71*G71*H71*P71,0)</f>
        <v>0</v>
      </c>
      <c r="R71" s="100">
        <f>+IF(D71=0.333,E71*F71*G71*P71,0)</f>
        <v>0</v>
      </c>
      <c r="S71" s="101">
        <f t="shared" si="152"/>
        <v>0</v>
      </c>
      <c r="T71" s="101">
        <f t="shared" si="152"/>
        <v>0</v>
      </c>
      <c r="U71" s="92"/>
      <c r="V71" s="91"/>
      <c r="W71" s="102"/>
      <c r="X71" s="98"/>
      <c r="Y71" s="102"/>
      <c r="Z71" s="98"/>
      <c r="AA71" s="98"/>
      <c r="AB71" s="98"/>
      <c r="AC71" s="91"/>
      <c r="AD71" s="98"/>
      <c r="AE71" s="98"/>
      <c r="AF71" s="98"/>
      <c r="AG71" s="91"/>
      <c r="AH71" s="304">
        <v>1</v>
      </c>
      <c r="AI71" s="299">
        <f>+AH71*G71*D71*0.17</f>
        <v>3.6701015003500008</v>
      </c>
      <c r="AK71" s="301">
        <f t="shared" si="153"/>
        <v>0</v>
      </c>
      <c r="AL71" s="301">
        <f t="shared" si="154"/>
        <v>0</v>
      </c>
      <c r="AM71" s="301"/>
      <c r="AN71" s="301"/>
      <c r="AO71" s="299"/>
      <c r="AP71" s="301"/>
      <c r="AQ71" s="301"/>
      <c r="AT71" s="28">
        <f t="shared" si="13"/>
        <v>0</v>
      </c>
    </row>
    <row r="72" spans="2:46" s="28" customFormat="1" ht="20.100000000000001" customHeight="1" x14ac:dyDescent="0.3">
      <c r="B72" s="92"/>
      <c r="C72" s="62" t="s">
        <v>32</v>
      </c>
      <c r="D72" s="98">
        <v>0.66700000000000004</v>
      </c>
      <c r="E72" s="92">
        <f>1*0</f>
        <v>0</v>
      </c>
      <c r="F72" s="92">
        <f>1*0</f>
        <v>0</v>
      </c>
      <c r="G72" s="98">
        <f>(3.161+2.629)*3.281</f>
        <v>18.99699</v>
      </c>
      <c r="H72" s="98">
        <f>+D72</f>
        <v>0.66700000000000004</v>
      </c>
      <c r="I72" s="94">
        <v>2</v>
      </c>
      <c r="J72" s="99">
        <v>3</v>
      </c>
      <c r="K72" s="100">
        <f>+IF(D72=0.667,E72*F72*G72*H72*J72,0)</f>
        <v>0</v>
      </c>
      <c r="L72" s="100">
        <f>+IF(D72=0.333,E72*F72*G72*J72,0)</f>
        <v>0</v>
      </c>
      <c r="M72" s="99">
        <v>4</v>
      </c>
      <c r="N72" s="100">
        <f>+IF(D72=0.667,E72*F72*G72*H72*M72,0)</f>
        <v>0</v>
      </c>
      <c r="O72" s="100">
        <f>+IF(D72=0.333,E72*F72*G72*M72,0)</f>
        <v>0</v>
      </c>
      <c r="P72" s="81">
        <f t="shared" si="166"/>
        <v>2.8330000000000002</v>
      </c>
      <c r="Q72" s="100">
        <f>+IF(D72=0.667,E72*F72*G72*H72*P72,0)</f>
        <v>0</v>
      </c>
      <c r="R72" s="100">
        <f>+IF(D72=0.333,E72*F72*G72*P72,0)</f>
        <v>0</v>
      </c>
      <c r="S72" s="101">
        <f t="shared" si="152"/>
        <v>0</v>
      </c>
      <c r="T72" s="101">
        <f t="shared" si="152"/>
        <v>0</v>
      </c>
      <c r="U72" s="92"/>
      <c r="V72" s="91"/>
      <c r="W72" s="102"/>
      <c r="X72" s="98"/>
      <c r="Y72" s="102"/>
      <c r="Z72" s="98"/>
      <c r="AA72" s="98"/>
      <c r="AB72" s="98"/>
      <c r="AC72" s="91"/>
      <c r="AD72" s="98"/>
      <c r="AE72" s="98"/>
      <c r="AF72" s="98"/>
      <c r="AG72" s="91"/>
      <c r="AH72" s="304">
        <v>1</v>
      </c>
      <c r="AI72" s="299">
        <f>+AH72*G72*D72*0.17</f>
        <v>2.1540686961000004</v>
      </c>
      <c r="AK72" s="301">
        <f t="shared" si="153"/>
        <v>0</v>
      </c>
      <c r="AL72" s="301">
        <f t="shared" si="154"/>
        <v>0</v>
      </c>
      <c r="AM72" s="301"/>
      <c r="AN72" s="301"/>
      <c r="AO72" s="299"/>
      <c r="AP72" s="301"/>
      <c r="AQ72" s="301"/>
      <c r="AT72" s="28">
        <f t="shared" ref="AT72:AT135" si="167">+E72*F72*G72</f>
        <v>0</v>
      </c>
    </row>
    <row r="73" spans="2:46" s="28" customFormat="1" ht="20.100000000000001" customHeight="1" x14ac:dyDescent="0.3">
      <c r="B73" s="18"/>
      <c r="C73" s="62" t="s">
        <v>48</v>
      </c>
      <c r="D73" s="298">
        <v>0.66700000000000004</v>
      </c>
      <c r="E73" s="18">
        <f>-1*0</f>
        <v>0</v>
      </c>
      <c r="F73" s="18">
        <f>2*0</f>
        <v>0</v>
      </c>
      <c r="G73" s="20">
        <v>5</v>
      </c>
      <c r="H73" s="20">
        <f t="shared" ref="H73" si="168">+D73</f>
        <v>0.66700000000000004</v>
      </c>
      <c r="I73" s="21"/>
      <c r="J73" s="81"/>
      <c r="K73" s="103">
        <f t="shared" ref="K73" si="169">+IF(D73=0.667,E73*F73*G73*H73*J73,0)</f>
        <v>0</v>
      </c>
      <c r="L73" s="103">
        <f t="shared" ref="L73" si="170">+IF(D73=0.333,E73*F73*G73*J73,0)</f>
        <v>0</v>
      </c>
      <c r="M73" s="81">
        <v>2.25</v>
      </c>
      <c r="N73" s="103">
        <f t="shared" ref="N73" si="171">+IF(D73=0.667,E73*F73*G73*H73*M73,0)</f>
        <v>0</v>
      </c>
      <c r="O73" s="103">
        <f t="shared" ref="O73" si="172">+IF(D73=0.333,E73*F73*G73*M73,0)</f>
        <v>0</v>
      </c>
      <c r="P73" s="81"/>
      <c r="Q73" s="103">
        <f t="shared" ref="Q73" si="173">+IF(D73=0.667,E73*F73*G73*H73*P73,0)</f>
        <v>0</v>
      </c>
      <c r="R73" s="103">
        <f t="shared" ref="R73" si="174">+IF(D73=0.333,E73*F73*G73*P73,0)</f>
        <v>0</v>
      </c>
      <c r="S73" s="104">
        <f t="shared" si="152"/>
        <v>0</v>
      </c>
      <c r="T73" s="104">
        <f t="shared" si="152"/>
        <v>0</v>
      </c>
      <c r="U73" s="18"/>
      <c r="V73" s="26"/>
      <c r="W73" s="21">
        <f>+G73+D73</f>
        <v>5.6669999999999998</v>
      </c>
      <c r="X73" s="21">
        <v>0.5</v>
      </c>
      <c r="Y73" s="21">
        <f>+IF(D73=0.667,-E73*F73*H73*W73*X73,0)</f>
        <v>0</v>
      </c>
      <c r="Z73" s="21">
        <f>+IF(D73=0.333,-E73*F73*H73*W73*X73,0)</f>
        <v>0</v>
      </c>
      <c r="AA73" s="21">
        <f>+F73*G73*H73</f>
        <v>0</v>
      </c>
      <c r="AB73" s="21">
        <f t="shared" ref="AB73" si="175">2*F73*W73*X73</f>
        <v>0</v>
      </c>
      <c r="AC73" s="27"/>
      <c r="AD73" s="21">
        <v>0.16700000000000001</v>
      </c>
      <c r="AE73" s="21">
        <f t="shared" ref="AE73" si="176">+IF(D73=0.667,AD73*W73*H73*F73,0)</f>
        <v>0</v>
      </c>
      <c r="AF73" s="21">
        <f t="shared" ref="AF73" si="177">+IF(D73=0.333,AD73*W73*H73*F73,0)</f>
        <v>0</v>
      </c>
      <c r="AG73" s="27"/>
      <c r="AH73" s="396"/>
      <c r="AI73" s="21">
        <f t="shared" ref="AI73" si="178">+AH73*G73*D73*0.17</f>
        <v>0</v>
      </c>
      <c r="AK73" s="301"/>
      <c r="AL73" s="301"/>
      <c r="AM73" s="301"/>
      <c r="AN73" s="301"/>
      <c r="AO73" s="299"/>
      <c r="AP73" s="301"/>
      <c r="AQ73" s="301"/>
      <c r="AT73" s="28">
        <f t="shared" si="167"/>
        <v>0</v>
      </c>
    </row>
    <row r="74" spans="2:46" s="28" customFormat="1" ht="20.100000000000001" customHeight="1" x14ac:dyDescent="0.3">
      <c r="B74" s="92"/>
      <c r="C74" s="62" t="s">
        <v>38</v>
      </c>
      <c r="D74" s="98">
        <v>0.33300000000000002</v>
      </c>
      <c r="E74" s="92">
        <f t="shared" ref="E74:F76" si="179">1*0</f>
        <v>0</v>
      </c>
      <c r="F74" s="92">
        <f t="shared" si="179"/>
        <v>0</v>
      </c>
      <c r="G74" s="98">
        <f>(11.84)*3.281</f>
        <v>38.84704</v>
      </c>
      <c r="H74" s="98">
        <f>+D74</f>
        <v>0.33300000000000002</v>
      </c>
      <c r="I74" s="94">
        <v>2</v>
      </c>
      <c r="J74" s="99">
        <v>3</v>
      </c>
      <c r="K74" s="100">
        <f>+IF(D74=0.667,E74*F74*G74*H74*J74,0)</f>
        <v>0</v>
      </c>
      <c r="L74" s="100">
        <f>+IF(D74=0.333,E74*F74*G74*J74,0)</f>
        <v>0</v>
      </c>
      <c r="M74" s="99">
        <v>4</v>
      </c>
      <c r="N74" s="100">
        <f>+IF(D74=0.667,E74*F74*G74*H74*M74,0)</f>
        <v>0</v>
      </c>
      <c r="O74" s="100">
        <f>+IF(D74=0.333,E74*F74*G74*M74,0)</f>
        <v>0</v>
      </c>
      <c r="P74" s="81">
        <f t="shared" ref="P74:P75" si="180">11.833-I74-M74-J74</f>
        <v>2.8330000000000002</v>
      </c>
      <c r="Q74" s="100">
        <f>+IF(D74=0.667,E74*F74*G74*H74*P74,0)</f>
        <v>0</v>
      </c>
      <c r="R74" s="100">
        <f>+IF(D74=0.333,E74*F74*G74*P74,0)</f>
        <v>0</v>
      </c>
      <c r="S74" s="101">
        <f t="shared" si="152"/>
        <v>0</v>
      </c>
      <c r="T74" s="101">
        <f t="shared" si="152"/>
        <v>0</v>
      </c>
      <c r="U74" s="92"/>
      <c r="V74" s="91"/>
      <c r="W74" s="102"/>
      <c r="X74" s="98"/>
      <c r="Y74" s="102"/>
      <c r="Z74" s="98"/>
      <c r="AA74" s="98"/>
      <c r="AB74" s="98"/>
      <c r="AC74" s="91"/>
      <c r="AD74" s="98"/>
      <c r="AE74" s="98"/>
      <c r="AF74" s="98"/>
      <c r="AG74" s="91"/>
      <c r="AH74" s="304">
        <v>1</v>
      </c>
      <c r="AI74" s="299">
        <f>+AH74*G74*D74*0.17</f>
        <v>2.1991309344000003</v>
      </c>
      <c r="AK74" s="301">
        <f t="shared" ref="AK74:AK76" si="181">+IF(D74=0.667,E74*F74*G74,0)</f>
        <v>0</v>
      </c>
      <c r="AL74" s="301">
        <f t="shared" ref="AL74:AL76" si="182">+IF(D74=0.333,E74*F74*G74,0)</f>
        <v>0</v>
      </c>
      <c r="AM74" s="301"/>
      <c r="AN74" s="301"/>
      <c r="AO74" s="299"/>
      <c r="AP74" s="301"/>
      <c r="AQ74" s="301"/>
      <c r="AT74" s="28">
        <f t="shared" si="167"/>
        <v>0</v>
      </c>
    </row>
    <row r="75" spans="2:46" s="28" customFormat="1" ht="20.100000000000001" customHeight="1" x14ac:dyDescent="0.3">
      <c r="B75" s="92"/>
      <c r="C75" s="62" t="s">
        <v>339</v>
      </c>
      <c r="D75" s="98">
        <v>0.66700000000000004</v>
      </c>
      <c r="E75" s="92">
        <f t="shared" si="179"/>
        <v>0</v>
      </c>
      <c r="F75" s="92">
        <f t="shared" si="179"/>
        <v>0</v>
      </c>
      <c r="G75" s="98">
        <f>(5.343+2.761)*3.281</f>
        <v>26.589223999999998</v>
      </c>
      <c r="H75" s="98">
        <f>+D75</f>
        <v>0.66700000000000004</v>
      </c>
      <c r="I75" s="94">
        <v>2</v>
      </c>
      <c r="J75" s="99">
        <v>3</v>
      </c>
      <c r="K75" s="100">
        <f>+IF(D75=0.667,E75*F75*G75*H75*J75,0)</f>
        <v>0</v>
      </c>
      <c r="L75" s="100">
        <f>+IF(D75=0.333,E75*F75*G75*J75,0)</f>
        <v>0</v>
      </c>
      <c r="M75" s="99">
        <v>4</v>
      </c>
      <c r="N75" s="100">
        <f>+IF(D75=0.667,E75*F75*G75*H75*M75,0)</f>
        <v>0</v>
      </c>
      <c r="O75" s="100">
        <f>+IF(D75=0.333,E75*F75*G75*M75,0)</f>
        <v>0</v>
      </c>
      <c r="P75" s="81">
        <f t="shared" si="180"/>
        <v>2.8330000000000002</v>
      </c>
      <c r="Q75" s="100">
        <f>+IF(D75=0.667,E75*F75*G75*H75*P75,0)</f>
        <v>0</v>
      </c>
      <c r="R75" s="100">
        <f>+IF(D75=0.333,E75*F75*G75*P75,0)</f>
        <v>0</v>
      </c>
      <c r="S75" s="101">
        <f t="shared" si="152"/>
        <v>0</v>
      </c>
      <c r="T75" s="101">
        <f t="shared" si="152"/>
        <v>0</v>
      </c>
      <c r="U75" s="92"/>
      <c r="V75" s="91"/>
      <c r="W75" s="102"/>
      <c r="X75" s="98"/>
      <c r="Y75" s="102"/>
      <c r="Z75" s="98"/>
      <c r="AA75" s="98"/>
      <c r="AB75" s="98"/>
      <c r="AC75" s="91"/>
      <c r="AD75" s="98"/>
      <c r="AE75" s="98"/>
      <c r="AF75" s="98"/>
      <c r="AG75" s="91"/>
      <c r="AH75" s="304">
        <v>1</v>
      </c>
      <c r="AI75" s="299">
        <f>+AH75*G75*D75*0.17</f>
        <v>3.0149521093600002</v>
      </c>
      <c r="AK75" s="301">
        <f t="shared" si="181"/>
        <v>0</v>
      </c>
      <c r="AL75" s="301">
        <f t="shared" si="182"/>
        <v>0</v>
      </c>
      <c r="AM75" s="301"/>
      <c r="AN75" s="301"/>
      <c r="AO75" s="299"/>
      <c r="AP75" s="301"/>
      <c r="AQ75" s="301"/>
      <c r="AT75" s="28">
        <f t="shared" si="167"/>
        <v>0</v>
      </c>
    </row>
    <row r="76" spans="2:46" s="28" customFormat="1" ht="20.100000000000001" customHeight="1" x14ac:dyDescent="0.3">
      <c r="B76" s="18"/>
      <c r="C76" s="62" t="s">
        <v>43</v>
      </c>
      <c r="D76" s="298">
        <v>0.66700000000000004</v>
      </c>
      <c r="E76" s="92">
        <f t="shared" si="179"/>
        <v>0</v>
      </c>
      <c r="F76" s="92">
        <f t="shared" si="179"/>
        <v>0</v>
      </c>
      <c r="G76" s="20">
        <f>(1.705+262+1.88)*3.281</f>
        <v>871.38438499999995</v>
      </c>
      <c r="H76" s="20">
        <f>+D76</f>
        <v>0.66700000000000004</v>
      </c>
      <c r="I76" s="21">
        <v>2</v>
      </c>
      <c r="J76" s="81">
        <v>3</v>
      </c>
      <c r="K76" s="103">
        <f>+IF(D76=0.667,E76*F76*G76*H76*J76,0)</f>
        <v>0</v>
      </c>
      <c r="L76" s="103">
        <f>+IF(D76=0.333,E76*F76*G76*J76,0)</f>
        <v>0</v>
      </c>
      <c r="M76" s="81">
        <v>4</v>
      </c>
      <c r="N76" s="103">
        <f>+IF(D76=0.667,E76*F76*G76*H76*M76,0)</f>
        <v>0</v>
      </c>
      <c r="O76" s="103">
        <f>+IF(D76=0.333,E76*F76*G76*M76,0)</f>
        <v>0</v>
      </c>
      <c r="P76" s="81">
        <f>11.833-I76-M76-J76</f>
        <v>2.8330000000000002</v>
      </c>
      <c r="Q76" s="103">
        <f>+IF(D76=0.667,E76*F76*G76*H76*P76,0)</f>
        <v>0</v>
      </c>
      <c r="R76" s="103">
        <f>+IF(D76=0.333,E76*F76*G76*P76,0)</f>
        <v>0</v>
      </c>
      <c r="S76" s="104">
        <f t="shared" si="152"/>
        <v>0</v>
      </c>
      <c r="T76" s="104">
        <f t="shared" si="152"/>
        <v>0</v>
      </c>
      <c r="U76" s="18"/>
      <c r="V76" s="26"/>
      <c r="W76" s="21"/>
      <c r="X76" s="21"/>
      <c r="Y76" s="21"/>
      <c r="Z76" s="21"/>
      <c r="AA76" s="21"/>
      <c r="AB76" s="21"/>
      <c r="AC76" s="27"/>
      <c r="AD76" s="21"/>
      <c r="AE76" s="21"/>
      <c r="AF76" s="21"/>
      <c r="AG76" s="27"/>
      <c r="AH76" s="396">
        <v>1</v>
      </c>
      <c r="AI76" s="21">
        <f>+AH76*G76*D76*0.17</f>
        <v>98.806275415150012</v>
      </c>
      <c r="AK76" s="301">
        <f t="shared" si="181"/>
        <v>0</v>
      </c>
      <c r="AL76" s="301">
        <f t="shared" si="182"/>
        <v>0</v>
      </c>
      <c r="AM76" s="301"/>
      <c r="AN76" s="301"/>
      <c r="AO76" s="299"/>
      <c r="AP76" s="301"/>
      <c r="AQ76" s="301"/>
      <c r="AT76" s="28">
        <f t="shared" si="167"/>
        <v>0</v>
      </c>
    </row>
    <row r="77" spans="2:46" s="28" customFormat="1" ht="20.100000000000001" customHeight="1" x14ac:dyDescent="0.3">
      <c r="B77" s="18"/>
      <c r="C77" s="62" t="s">
        <v>246</v>
      </c>
      <c r="D77" s="298">
        <v>0.66700000000000004</v>
      </c>
      <c r="E77" s="18">
        <f>-1*0</f>
        <v>0</v>
      </c>
      <c r="F77" s="18">
        <f>2*0</f>
        <v>0</v>
      </c>
      <c r="G77" s="20">
        <v>2</v>
      </c>
      <c r="H77" s="20">
        <f t="shared" ref="H77" si="183">+D77</f>
        <v>0.66700000000000004</v>
      </c>
      <c r="I77" s="21"/>
      <c r="J77" s="81"/>
      <c r="K77" s="103">
        <f t="shared" ref="K77" si="184">+IF(D77=0.667,E77*F77*G77*H77*J77,0)</f>
        <v>0</v>
      </c>
      <c r="L77" s="103">
        <f t="shared" ref="L77" si="185">+IF(D77=0.333,E77*F77*G77*J77,0)</f>
        <v>0</v>
      </c>
      <c r="M77" s="81">
        <v>0</v>
      </c>
      <c r="N77" s="103">
        <f t="shared" ref="N77" si="186">+IF(D77=0.667,E77*F77*G77*H77*M77,0)</f>
        <v>0</v>
      </c>
      <c r="O77" s="103">
        <f t="shared" ref="O77" si="187">+IF(D77=0.333,E77*F77*G77*M77,0)</f>
        <v>0</v>
      </c>
      <c r="P77" s="81">
        <v>2</v>
      </c>
      <c r="Q77" s="103">
        <f t="shared" ref="Q77" si="188">+IF(D77=0.667,E77*F77*G77*H77*P77,0)</f>
        <v>0</v>
      </c>
      <c r="R77" s="103">
        <f t="shared" ref="R77" si="189">+IF(D77=0.333,E77*F77*G77*P77,0)</f>
        <v>0</v>
      </c>
      <c r="S77" s="104">
        <f t="shared" si="152"/>
        <v>0</v>
      </c>
      <c r="T77" s="104">
        <f t="shared" si="152"/>
        <v>0</v>
      </c>
      <c r="U77" s="18"/>
      <c r="V77" s="26"/>
      <c r="W77" s="21">
        <f>+G77+D77</f>
        <v>2.6669999999999998</v>
      </c>
      <c r="X77" s="21">
        <v>0.5</v>
      </c>
      <c r="Y77" s="21">
        <f>+IF(D77=0.667,-E77*F77*H77*W77*X77,0)</f>
        <v>0</v>
      </c>
      <c r="Z77" s="21">
        <f>+IF(D77=0.333,-E77*F77*H77*W77*X77,0)</f>
        <v>0</v>
      </c>
      <c r="AA77" s="21">
        <f>+F77*G77*H77</f>
        <v>0</v>
      </c>
      <c r="AB77" s="21">
        <f t="shared" ref="AB77" si="190">2*F77*W77*X77</f>
        <v>0</v>
      </c>
      <c r="AC77" s="27"/>
      <c r="AD77" s="21">
        <v>0.16700000000000001</v>
      </c>
      <c r="AE77" s="21">
        <f t="shared" ref="AE77" si="191">+IF(D77=0.667,AD77*W77*H77*F77,0)</f>
        <v>0</v>
      </c>
      <c r="AF77" s="21">
        <f t="shared" ref="AF77" si="192">+IF(D77=0.333,AD77*W77*H77*F77,0)</f>
        <v>0</v>
      </c>
      <c r="AG77" s="27"/>
      <c r="AH77" s="396"/>
      <c r="AI77" s="21">
        <f t="shared" ref="AI77" si="193">+AH77*G77*D77*0.17</f>
        <v>0</v>
      </c>
      <c r="AK77" s="301"/>
      <c r="AL77" s="301"/>
      <c r="AM77" s="301"/>
      <c r="AN77" s="301"/>
      <c r="AO77" s="299"/>
      <c r="AP77" s="301"/>
      <c r="AQ77" s="301"/>
      <c r="AT77" s="28">
        <f t="shared" si="167"/>
        <v>0</v>
      </c>
    </row>
    <row r="78" spans="2:46" s="28" customFormat="1" ht="27.6" x14ac:dyDescent="0.3">
      <c r="B78" s="92"/>
      <c r="C78" s="62" t="s">
        <v>340</v>
      </c>
      <c r="D78" s="98">
        <v>0.33300000000000002</v>
      </c>
      <c r="E78" s="92">
        <f>1*0</f>
        <v>0</v>
      </c>
      <c r="F78" s="92">
        <f>1*0</f>
        <v>0</v>
      </c>
      <c r="G78" s="98">
        <f>(3.66)*3.281</f>
        <v>12.008460000000001</v>
      </c>
      <c r="H78" s="98">
        <f>+D78</f>
        <v>0.33300000000000002</v>
      </c>
      <c r="I78" s="94">
        <v>2</v>
      </c>
      <c r="J78" s="99">
        <v>3</v>
      </c>
      <c r="K78" s="100">
        <f>+IF(D78=0.667,E78*F78*G78*H78*J78,0)</f>
        <v>0</v>
      </c>
      <c r="L78" s="100">
        <f>+IF(D78=0.333,E78*F78*G78*J78,0)</f>
        <v>0</v>
      </c>
      <c r="M78" s="99">
        <v>4</v>
      </c>
      <c r="N78" s="100">
        <f>+IF(D78=0.667,E78*F78*G78*H78*M78,0)</f>
        <v>0</v>
      </c>
      <c r="O78" s="100">
        <f>+IF(D78=0.333,E78*F78*G78*M78,0)</f>
        <v>0</v>
      </c>
      <c r="P78" s="81">
        <f t="shared" ref="P78:P79" si="194">11.833-I78-M78-J78</f>
        <v>2.8330000000000002</v>
      </c>
      <c r="Q78" s="100">
        <f>+IF(D78=0.667,E78*F78*G78*H78*P78,0)</f>
        <v>0</v>
      </c>
      <c r="R78" s="100">
        <f>+IF(D78=0.333,E78*F78*G78*P78,0)</f>
        <v>0</v>
      </c>
      <c r="S78" s="101">
        <f t="shared" si="152"/>
        <v>0</v>
      </c>
      <c r="T78" s="101">
        <f t="shared" si="152"/>
        <v>0</v>
      </c>
      <c r="U78" s="92"/>
      <c r="V78" s="91"/>
      <c r="W78" s="102"/>
      <c r="X78" s="98"/>
      <c r="Y78" s="102"/>
      <c r="Z78" s="98"/>
      <c r="AA78" s="98"/>
      <c r="AB78" s="98"/>
      <c r="AC78" s="91"/>
      <c r="AD78" s="98"/>
      <c r="AE78" s="98"/>
      <c r="AF78" s="98"/>
      <c r="AG78" s="91"/>
      <c r="AH78" s="304">
        <v>1</v>
      </c>
      <c r="AI78" s="299">
        <f>+AH78*G78*D78*0.17</f>
        <v>0.67979892060000013</v>
      </c>
      <c r="AK78" s="301">
        <f t="shared" ref="AK78:AK86" si="195">+IF(D78=0.667,E78*F78*G78,0)</f>
        <v>0</v>
      </c>
      <c r="AL78" s="301">
        <f t="shared" ref="AL78:AL84" si="196">+IF(D78=0.333,E78*F78*G78,0)</f>
        <v>0</v>
      </c>
      <c r="AM78" s="301"/>
      <c r="AN78" s="301"/>
      <c r="AO78" s="299"/>
      <c r="AP78" s="301"/>
      <c r="AQ78" s="301"/>
      <c r="AT78" s="28">
        <f t="shared" si="167"/>
        <v>0</v>
      </c>
    </row>
    <row r="79" spans="2:46" s="28" customFormat="1" ht="27.6" x14ac:dyDescent="0.3">
      <c r="B79" s="92"/>
      <c r="C79" s="62" t="s">
        <v>340</v>
      </c>
      <c r="D79" s="98">
        <v>0.33300000000000002</v>
      </c>
      <c r="E79" s="92">
        <f>1*0</f>
        <v>0</v>
      </c>
      <c r="F79" s="92">
        <f>1*0</f>
        <v>0</v>
      </c>
      <c r="G79" s="98">
        <f>(0.65+1.735+2.135+2.98+3.06)*3.281</f>
        <v>34.647360000000006</v>
      </c>
      <c r="H79" s="98">
        <f>+D79</f>
        <v>0.33300000000000002</v>
      </c>
      <c r="I79" s="94">
        <v>2</v>
      </c>
      <c r="J79" s="99">
        <v>3</v>
      </c>
      <c r="K79" s="100">
        <f>+IF(D79=0.667,E79*F79*G79*H79*J79,0)</f>
        <v>0</v>
      </c>
      <c r="L79" s="100">
        <f>+IF(D79=0.333,E79*F79*G79*J79,0)</f>
        <v>0</v>
      </c>
      <c r="M79" s="99">
        <v>4</v>
      </c>
      <c r="N79" s="100">
        <f>+IF(D79=0.667,E79*F79*G79*H79*M79,0)</f>
        <v>0</v>
      </c>
      <c r="O79" s="100">
        <f>+IF(D79=0.333,E79*F79*G79*M79,0)</f>
        <v>0</v>
      </c>
      <c r="P79" s="81">
        <f t="shared" si="194"/>
        <v>2.8330000000000002</v>
      </c>
      <c r="Q79" s="100">
        <f>+IF(D79=0.667,E79*F79*G79*H79*P79,0)</f>
        <v>0</v>
      </c>
      <c r="R79" s="100">
        <f>+IF(D79=0.333,E79*F79*G79*P79,0)</f>
        <v>0</v>
      </c>
      <c r="S79" s="101">
        <f t="shared" si="152"/>
        <v>0</v>
      </c>
      <c r="T79" s="101">
        <f t="shared" si="152"/>
        <v>0</v>
      </c>
      <c r="U79" s="92"/>
      <c r="V79" s="91"/>
      <c r="W79" s="102"/>
      <c r="X79" s="98"/>
      <c r="Y79" s="102"/>
      <c r="Z79" s="98"/>
      <c r="AA79" s="98"/>
      <c r="AB79" s="98"/>
      <c r="AC79" s="91"/>
      <c r="AD79" s="98"/>
      <c r="AE79" s="98"/>
      <c r="AF79" s="98"/>
      <c r="AG79" s="91"/>
      <c r="AH79" s="304">
        <v>1</v>
      </c>
      <c r="AI79" s="299">
        <f>+AH79*G79*D79*0.17</f>
        <v>1.9613870496000005</v>
      </c>
      <c r="AK79" s="301">
        <f t="shared" si="195"/>
        <v>0</v>
      </c>
      <c r="AL79" s="301">
        <f t="shared" si="196"/>
        <v>0</v>
      </c>
      <c r="AM79" s="301"/>
      <c r="AN79" s="301"/>
      <c r="AO79" s="299"/>
      <c r="AP79" s="301"/>
      <c r="AQ79" s="301"/>
      <c r="AT79" s="28">
        <f t="shared" si="167"/>
        <v>0</v>
      </c>
    </row>
    <row r="80" spans="2:46" s="28" customFormat="1" ht="20.100000000000001" customHeight="1" x14ac:dyDescent="0.3">
      <c r="B80" s="18"/>
      <c r="C80" s="62" t="s">
        <v>337</v>
      </c>
      <c r="D80" s="98">
        <v>0.33300000000000002</v>
      </c>
      <c r="E80" s="18">
        <f>-1*0</f>
        <v>0</v>
      </c>
      <c r="F80" s="18">
        <f>2*0</f>
        <v>0</v>
      </c>
      <c r="G80" s="20">
        <v>2.5</v>
      </c>
      <c r="H80" s="20">
        <f t="shared" ref="H80:H81" si="197">+D80</f>
        <v>0.33300000000000002</v>
      </c>
      <c r="I80" s="21"/>
      <c r="J80" s="81">
        <v>3</v>
      </c>
      <c r="K80" s="103">
        <f t="shared" ref="K80:K81" si="198">+IF(D80=0.667,E80*F80*G80*H80*J80,0)</f>
        <v>0</v>
      </c>
      <c r="L80" s="103">
        <f t="shared" ref="L80:L81" si="199">+IF(D80=0.333,E80*F80*G80*J80,0)</f>
        <v>0</v>
      </c>
      <c r="M80" s="81">
        <v>3</v>
      </c>
      <c r="N80" s="103">
        <f t="shared" ref="N80:N81" si="200">+IF(D80=0.667,E80*F80*G80*H80*M80,0)</f>
        <v>0</v>
      </c>
      <c r="O80" s="103">
        <f t="shared" ref="O80:O81" si="201">+IF(D80=0.333,E80*F80*G80*M80,0)</f>
        <v>0</v>
      </c>
      <c r="P80" s="81"/>
      <c r="Q80" s="103">
        <f t="shared" ref="Q80:Q81" si="202">+IF(D80=0.667,E80*F80*G80*H80*P80,0)</f>
        <v>0</v>
      </c>
      <c r="R80" s="103">
        <f t="shared" ref="R80:R81" si="203">+IF(D80=0.333,E80*F80*G80*P80,0)</f>
        <v>0</v>
      </c>
      <c r="S80" s="104">
        <f t="shared" si="152"/>
        <v>0</v>
      </c>
      <c r="T80" s="104">
        <f t="shared" si="152"/>
        <v>0</v>
      </c>
      <c r="U80" s="18"/>
      <c r="V80" s="26"/>
      <c r="W80" s="21">
        <f>+G80+D80</f>
        <v>2.8330000000000002</v>
      </c>
      <c r="X80" s="21">
        <v>0.5</v>
      </c>
      <c r="Y80" s="21">
        <f>+IF(D80=0.667,-E80*F80*H80*W80*X80,0)</f>
        <v>0</v>
      </c>
      <c r="Z80" s="21">
        <f>+IF(D80=0.333,-E80*F80*H80*W80*X80,0)</f>
        <v>0</v>
      </c>
      <c r="AA80" s="21">
        <f>+F80*G80*H80</f>
        <v>0</v>
      </c>
      <c r="AB80" s="21">
        <f t="shared" ref="AB80:AB81" si="204">2*F80*W80*X80</f>
        <v>0</v>
      </c>
      <c r="AC80" s="27"/>
      <c r="AD80" s="21"/>
      <c r="AE80" s="21">
        <f t="shared" ref="AE80:AE81" si="205">+IF(D80=0.667,AD80*W80*H80*F80,0)</f>
        <v>0</v>
      </c>
      <c r="AF80" s="21">
        <f t="shared" ref="AF80:AF81" si="206">+IF(D80=0.333,AD80*W80*H80*F80,0)</f>
        <v>0</v>
      </c>
      <c r="AG80" s="27"/>
      <c r="AH80" s="396"/>
      <c r="AI80" s="21">
        <f t="shared" ref="AI80:AI81" si="207">+AH80*G80*D80*0.17</f>
        <v>0</v>
      </c>
      <c r="AK80" s="301">
        <f t="shared" si="195"/>
        <v>0</v>
      </c>
      <c r="AL80" s="301">
        <f t="shared" si="196"/>
        <v>0</v>
      </c>
      <c r="AM80" s="301"/>
      <c r="AN80" s="301">
        <f>+IF(D80=0.333,1.33,0)*0</f>
        <v>0</v>
      </c>
      <c r="AO80" s="299"/>
      <c r="AP80" s="301"/>
      <c r="AQ80" s="301"/>
      <c r="AT80" s="28">
        <f t="shared" si="167"/>
        <v>0</v>
      </c>
    </row>
    <row r="81" spans="2:46" s="28" customFormat="1" ht="20.100000000000001" customHeight="1" x14ac:dyDescent="0.3">
      <c r="B81" s="18"/>
      <c r="C81" s="62" t="s">
        <v>341</v>
      </c>
      <c r="D81" s="98">
        <v>0.33300000000000002</v>
      </c>
      <c r="E81" s="18">
        <f>-1*0</f>
        <v>0</v>
      </c>
      <c r="F81" s="18">
        <f>1*0</f>
        <v>0</v>
      </c>
      <c r="G81" s="20">
        <v>3.25</v>
      </c>
      <c r="H81" s="20">
        <f t="shared" si="197"/>
        <v>0.33300000000000002</v>
      </c>
      <c r="I81" s="21"/>
      <c r="J81" s="81">
        <v>3</v>
      </c>
      <c r="K81" s="103">
        <f t="shared" si="198"/>
        <v>0</v>
      </c>
      <c r="L81" s="103">
        <f t="shared" si="199"/>
        <v>0</v>
      </c>
      <c r="M81" s="81">
        <v>3</v>
      </c>
      <c r="N81" s="103">
        <f t="shared" si="200"/>
        <v>0</v>
      </c>
      <c r="O81" s="103">
        <f t="shared" si="201"/>
        <v>0</v>
      </c>
      <c r="P81" s="81"/>
      <c r="Q81" s="103">
        <f t="shared" si="202"/>
        <v>0</v>
      </c>
      <c r="R81" s="103">
        <f t="shared" si="203"/>
        <v>0</v>
      </c>
      <c r="S81" s="104">
        <f t="shared" si="152"/>
        <v>0</v>
      </c>
      <c r="T81" s="104">
        <f t="shared" si="152"/>
        <v>0</v>
      </c>
      <c r="U81" s="18"/>
      <c r="V81" s="26"/>
      <c r="W81" s="21">
        <f>+G81+D81</f>
        <v>3.5830000000000002</v>
      </c>
      <c r="X81" s="21">
        <v>0.5</v>
      </c>
      <c r="Y81" s="21">
        <f>+IF(D81=0.667,-E81*F81*H81*W81*X81,0)</f>
        <v>0</v>
      </c>
      <c r="Z81" s="21">
        <f>+IF(D81=0.333,-E81*F81*H81*W81*X81,0)</f>
        <v>0</v>
      </c>
      <c r="AA81" s="21">
        <f>+F81*G81*H81</f>
        <v>0</v>
      </c>
      <c r="AB81" s="21">
        <f t="shared" si="204"/>
        <v>0</v>
      </c>
      <c r="AC81" s="27"/>
      <c r="AD81" s="21"/>
      <c r="AE81" s="21">
        <f t="shared" si="205"/>
        <v>0</v>
      </c>
      <c r="AF81" s="21">
        <f t="shared" si="206"/>
        <v>0</v>
      </c>
      <c r="AG81" s="27"/>
      <c r="AH81" s="396"/>
      <c r="AI81" s="21">
        <f t="shared" si="207"/>
        <v>0</v>
      </c>
      <c r="AK81" s="301">
        <f t="shared" si="195"/>
        <v>0</v>
      </c>
      <c r="AL81" s="301">
        <f t="shared" si="196"/>
        <v>0</v>
      </c>
      <c r="AM81" s="301"/>
      <c r="AN81" s="301">
        <f>+IF(D81=0.333,1.33,0)*0</f>
        <v>0</v>
      </c>
      <c r="AO81" s="299"/>
      <c r="AP81" s="301"/>
      <c r="AQ81" s="301"/>
      <c r="AT81" s="28">
        <f t="shared" si="167"/>
        <v>0</v>
      </c>
    </row>
    <row r="82" spans="2:46" s="28" customFormat="1" ht="20.100000000000001" customHeight="1" x14ac:dyDescent="0.3">
      <c r="B82" s="92"/>
      <c r="C82" s="62" t="s">
        <v>342</v>
      </c>
      <c r="D82" s="98">
        <v>0.33300000000000002</v>
      </c>
      <c r="E82" s="92">
        <f>1*0</f>
        <v>0</v>
      </c>
      <c r="F82" s="92">
        <f>1*0</f>
        <v>0</v>
      </c>
      <c r="G82" s="98">
        <f>(3.89+4.57+2.135+2.135+1.736+2.135+1.39+2.985)*3.281</f>
        <v>68.822255999999996</v>
      </c>
      <c r="H82" s="98">
        <f>+D82</f>
        <v>0.33300000000000002</v>
      </c>
      <c r="I82" s="94">
        <v>2</v>
      </c>
      <c r="J82" s="99">
        <v>3</v>
      </c>
      <c r="K82" s="100">
        <f>+IF(D82=0.667,E82*F82*G82*H82*J82,0)</f>
        <v>0</v>
      </c>
      <c r="L82" s="100">
        <f>+IF(D82=0.333,E82*F82*G82*J82,0)</f>
        <v>0</v>
      </c>
      <c r="M82" s="99">
        <v>4</v>
      </c>
      <c r="N82" s="100">
        <f>+IF(D82=0.667,E82*F82*G82*H82*M82,0)</f>
        <v>0</v>
      </c>
      <c r="O82" s="100">
        <f>+IF(D82=0.333,E82*F82*G82*M82,0)</f>
        <v>0</v>
      </c>
      <c r="P82" s="81">
        <f>11.833-I82-M82-J82</f>
        <v>2.8330000000000002</v>
      </c>
      <c r="Q82" s="100">
        <f>+IF(D82=0.667,E82*F82*G82*H82*P82,0)</f>
        <v>0</v>
      </c>
      <c r="R82" s="100">
        <f>+IF(D82=0.333,E82*F82*G82*P82,0)</f>
        <v>0</v>
      </c>
      <c r="S82" s="101">
        <f t="shared" si="152"/>
        <v>0</v>
      </c>
      <c r="T82" s="101">
        <f t="shared" si="152"/>
        <v>0</v>
      </c>
      <c r="U82" s="92"/>
      <c r="V82" s="91"/>
      <c r="W82" s="102"/>
      <c r="X82" s="98"/>
      <c r="Y82" s="102"/>
      <c r="Z82" s="98"/>
      <c r="AA82" s="98"/>
      <c r="AB82" s="98"/>
      <c r="AC82" s="91"/>
      <c r="AD82" s="98"/>
      <c r="AE82" s="98"/>
      <c r="AF82" s="98"/>
      <c r="AG82" s="91"/>
      <c r="AH82" s="304">
        <v>1</v>
      </c>
      <c r="AI82" s="299">
        <f>+AH82*G82*D82*0.17</f>
        <v>3.8960279121600001</v>
      </c>
      <c r="AK82" s="301">
        <f t="shared" si="195"/>
        <v>0</v>
      </c>
      <c r="AL82" s="301">
        <f t="shared" si="196"/>
        <v>0</v>
      </c>
      <c r="AM82" s="301"/>
      <c r="AN82" s="301"/>
      <c r="AO82" s="299"/>
      <c r="AP82" s="301"/>
      <c r="AQ82" s="301"/>
      <c r="AT82" s="28">
        <f t="shared" si="167"/>
        <v>0</v>
      </c>
    </row>
    <row r="83" spans="2:46" s="28" customFormat="1" ht="20.100000000000001" customHeight="1" x14ac:dyDescent="0.3">
      <c r="B83" s="18"/>
      <c r="C83" s="62" t="s">
        <v>337</v>
      </c>
      <c r="D83" s="98">
        <v>0.33300000000000002</v>
      </c>
      <c r="E83" s="18">
        <f>-1*0</f>
        <v>0</v>
      </c>
      <c r="F83" s="18">
        <f>4*0</f>
        <v>0</v>
      </c>
      <c r="G83" s="20">
        <v>2.5</v>
      </c>
      <c r="H83" s="20">
        <f t="shared" ref="H83:H86" si="208">+D83</f>
        <v>0.33300000000000002</v>
      </c>
      <c r="I83" s="21"/>
      <c r="J83" s="81">
        <v>3</v>
      </c>
      <c r="K83" s="103">
        <f t="shared" ref="K83:K86" si="209">+IF(D83=0.667,E83*F83*G83*H83*J83,0)</f>
        <v>0</v>
      </c>
      <c r="L83" s="103">
        <f t="shared" ref="L83:L86" si="210">+IF(D83=0.333,E83*F83*G83*J83,0)</f>
        <v>0</v>
      </c>
      <c r="M83" s="81">
        <v>3</v>
      </c>
      <c r="N83" s="103">
        <f t="shared" ref="N83:N86" si="211">+IF(D83=0.667,E83*F83*G83*H83*M83,0)</f>
        <v>0</v>
      </c>
      <c r="O83" s="103">
        <f t="shared" ref="O83:O86" si="212">+IF(D83=0.333,E83*F83*G83*M83,0)</f>
        <v>0</v>
      </c>
      <c r="P83" s="81"/>
      <c r="Q83" s="103">
        <f t="shared" ref="Q83:Q86" si="213">+IF(D83=0.667,E83*F83*G83*H83*P83,0)</f>
        <v>0</v>
      </c>
      <c r="R83" s="103">
        <f t="shared" ref="R83:R86" si="214">+IF(D83=0.333,E83*F83*G83*P83,0)</f>
        <v>0</v>
      </c>
      <c r="S83" s="104">
        <f t="shared" si="152"/>
        <v>0</v>
      </c>
      <c r="T83" s="104">
        <f t="shared" si="152"/>
        <v>0</v>
      </c>
      <c r="U83" s="18"/>
      <c r="V83" s="26"/>
      <c r="W83" s="21">
        <f>+G83+D83</f>
        <v>2.8330000000000002</v>
      </c>
      <c r="X83" s="21">
        <v>0.5</v>
      </c>
      <c r="Y83" s="21">
        <f>+IF(D83=0.667,-E83*F83*H83*W83*X83,0)</f>
        <v>0</v>
      </c>
      <c r="Z83" s="21">
        <f>+IF(D83=0.333,-E83*F83*H83*W83*X83,0)</f>
        <v>0</v>
      </c>
      <c r="AA83" s="21">
        <f>+F83*G83*H83</f>
        <v>0</v>
      </c>
      <c r="AB83" s="21">
        <f t="shared" ref="AB83:AB86" si="215">2*F83*W83*X83</f>
        <v>0</v>
      </c>
      <c r="AC83" s="27"/>
      <c r="AD83" s="21"/>
      <c r="AE83" s="21">
        <f t="shared" ref="AE83:AE86" si="216">+IF(D83=0.667,AD83*W83*H83*F83,0)</f>
        <v>0</v>
      </c>
      <c r="AF83" s="21">
        <f t="shared" ref="AF83:AF86" si="217">+IF(D83=0.333,AD83*W83*H83*F83,0)</f>
        <v>0</v>
      </c>
      <c r="AG83" s="27"/>
      <c r="AH83" s="396"/>
      <c r="AI83" s="21">
        <f t="shared" ref="AI83:AI86" si="218">+AH83*G83*D83*0.17</f>
        <v>0</v>
      </c>
      <c r="AK83" s="301">
        <f t="shared" si="195"/>
        <v>0</v>
      </c>
      <c r="AL83" s="301">
        <f t="shared" si="196"/>
        <v>0</v>
      </c>
      <c r="AM83" s="301"/>
      <c r="AN83" s="301">
        <f>+IF(D83=0.333,1.33,0)*0</f>
        <v>0</v>
      </c>
      <c r="AO83" s="299"/>
      <c r="AP83" s="301"/>
      <c r="AQ83" s="301"/>
      <c r="AT83" s="28">
        <f t="shared" si="167"/>
        <v>0</v>
      </c>
    </row>
    <row r="84" spans="2:46" s="28" customFormat="1" ht="20.100000000000001" customHeight="1" x14ac:dyDescent="0.3">
      <c r="B84" s="18"/>
      <c r="C84" s="62" t="s">
        <v>341</v>
      </c>
      <c r="D84" s="98">
        <v>0.33300000000000002</v>
      </c>
      <c r="E84" s="18">
        <f>-1*0</f>
        <v>0</v>
      </c>
      <c r="F84" s="18">
        <f>1*0</f>
        <v>0</v>
      </c>
      <c r="G84" s="20">
        <v>3.25</v>
      </c>
      <c r="H84" s="20">
        <f t="shared" si="208"/>
        <v>0.33300000000000002</v>
      </c>
      <c r="I84" s="21"/>
      <c r="J84" s="81">
        <v>3</v>
      </c>
      <c r="K84" s="103">
        <f t="shared" si="209"/>
        <v>0</v>
      </c>
      <c r="L84" s="103">
        <f t="shared" si="210"/>
        <v>0</v>
      </c>
      <c r="M84" s="81">
        <v>3</v>
      </c>
      <c r="N84" s="103">
        <f t="shared" si="211"/>
        <v>0</v>
      </c>
      <c r="O84" s="103">
        <f t="shared" si="212"/>
        <v>0</v>
      </c>
      <c r="P84" s="81"/>
      <c r="Q84" s="103">
        <f t="shared" si="213"/>
        <v>0</v>
      </c>
      <c r="R84" s="103">
        <f t="shared" si="214"/>
        <v>0</v>
      </c>
      <c r="S84" s="104">
        <f t="shared" si="152"/>
        <v>0</v>
      </c>
      <c r="T84" s="104">
        <f t="shared" si="152"/>
        <v>0</v>
      </c>
      <c r="U84" s="18"/>
      <c r="V84" s="26"/>
      <c r="W84" s="21">
        <f>+G84+D84</f>
        <v>3.5830000000000002</v>
      </c>
      <c r="X84" s="21">
        <v>0.5</v>
      </c>
      <c r="Y84" s="21">
        <f>+IF(D84=0.667,-E84*F84*H84*W84*X84,0)</f>
        <v>0</v>
      </c>
      <c r="Z84" s="21">
        <f>+IF(D84=0.333,-E84*F84*H84*W84*X84,0)</f>
        <v>0</v>
      </c>
      <c r="AA84" s="21">
        <f>+F84*G84*H84</f>
        <v>0</v>
      </c>
      <c r="AB84" s="21">
        <f t="shared" si="215"/>
        <v>0</v>
      </c>
      <c r="AC84" s="27"/>
      <c r="AD84" s="21"/>
      <c r="AE84" s="21">
        <f t="shared" si="216"/>
        <v>0</v>
      </c>
      <c r="AF84" s="21">
        <f t="shared" si="217"/>
        <v>0</v>
      </c>
      <c r="AG84" s="27"/>
      <c r="AH84" s="396"/>
      <c r="AI84" s="21">
        <f t="shared" si="218"/>
        <v>0</v>
      </c>
      <c r="AK84" s="301">
        <f t="shared" si="195"/>
        <v>0</v>
      </c>
      <c r="AL84" s="301">
        <f t="shared" si="196"/>
        <v>0</v>
      </c>
      <c r="AM84" s="301"/>
      <c r="AN84" s="301">
        <f>+IF(D84=0.333,1.33,0)*0</f>
        <v>0</v>
      </c>
      <c r="AO84" s="299"/>
      <c r="AP84" s="301"/>
      <c r="AQ84" s="301"/>
      <c r="AT84" s="28">
        <f t="shared" si="167"/>
        <v>0</v>
      </c>
    </row>
    <row r="85" spans="2:46" s="28" customFormat="1" ht="20.100000000000001" customHeight="1" x14ac:dyDescent="0.3">
      <c r="B85" s="18"/>
      <c r="C85" s="62" t="s">
        <v>343</v>
      </c>
      <c r="D85" s="298">
        <v>0.33300000000000002</v>
      </c>
      <c r="E85" s="92">
        <f>1*0</f>
        <v>0</v>
      </c>
      <c r="F85" s="92">
        <f>1*0</f>
        <v>0</v>
      </c>
      <c r="G85" s="20">
        <f>(1.05+1.05+1.05)*3.281</f>
        <v>10.335150000000002</v>
      </c>
      <c r="H85" s="20">
        <f t="shared" si="208"/>
        <v>0.33300000000000002</v>
      </c>
      <c r="I85" s="21">
        <f>18/12</f>
        <v>1.5</v>
      </c>
      <c r="J85" s="81">
        <v>3</v>
      </c>
      <c r="K85" s="103">
        <f t="shared" si="209"/>
        <v>0</v>
      </c>
      <c r="L85" s="103">
        <f t="shared" si="210"/>
        <v>0</v>
      </c>
      <c r="M85" s="81"/>
      <c r="N85" s="103">
        <f t="shared" si="211"/>
        <v>0</v>
      </c>
      <c r="O85" s="103">
        <f t="shared" si="212"/>
        <v>0</v>
      </c>
      <c r="P85" s="81"/>
      <c r="Q85" s="103">
        <f t="shared" si="213"/>
        <v>0</v>
      </c>
      <c r="R85" s="103">
        <f t="shared" si="214"/>
        <v>0</v>
      </c>
      <c r="S85" s="104">
        <f t="shared" ref="S85:T86" si="219">+Q85+N85+K85</f>
        <v>0</v>
      </c>
      <c r="T85" s="104">
        <f t="shared" si="219"/>
        <v>0</v>
      </c>
      <c r="U85" s="18"/>
      <c r="V85" s="26"/>
      <c r="W85" s="21"/>
      <c r="X85" s="21"/>
      <c r="Y85" s="21"/>
      <c r="Z85" s="21"/>
      <c r="AA85" s="21"/>
      <c r="AB85" s="21">
        <f t="shared" si="215"/>
        <v>0</v>
      </c>
      <c r="AC85" s="27"/>
      <c r="AD85" s="21"/>
      <c r="AE85" s="21">
        <f t="shared" si="216"/>
        <v>0</v>
      </c>
      <c r="AF85" s="21">
        <f t="shared" si="217"/>
        <v>0</v>
      </c>
      <c r="AG85" s="27"/>
      <c r="AH85" s="396">
        <v>1</v>
      </c>
      <c r="AI85" s="21">
        <f t="shared" si="218"/>
        <v>0.58507284150000016</v>
      </c>
      <c r="AK85" s="301">
        <f t="shared" si="195"/>
        <v>0</v>
      </c>
      <c r="AL85" s="301"/>
      <c r="AM85" s="301"/>
      <c r="AN85" s="301"/>
      <c r="AO85" s="299">
        <f>+E85*F85*G85</f>
        <v>0</v>
      </c>
      <c r="AP85" s="301"/>
      <c r="AQ85" s="301"/>
      <c r="AT85" s="28">
        <f t="shared" si="167"/>
        <v>0</v>
      </c>
    </row>
    <row r="86" spans="2:46" s="28" customFormat="1" ht="20.100000000000001" customHeight="1" x14ac:dyDescent="0.3">
      <c r="B86" s="18"/>
      <c r="C86" s="62" t="s">
        <v>344</v>
      </c>
      <c r="D86" s="298">
        <v>0.33300000000000002</v>
      </c>
      <c r="E86" s="92">
        <f>1*0</f>
        <v>0</v>
      </c>
      <c r="F86" s="92">
        <f>1*0</f>
        <v>0</v>
      </c>
      <c r="G86" s="20">
        <f>(1.05+1.05+1.05+1.05+1.05)*3.281</f>
        <v>17.225249999999999</v>
      </c>
      <c r="H86" s="20">
        <f t="shared" si="208"/>
        <v>0.33300000000000002</v>
      </c>
      <c r="I86" s="21">
        <f>18/12</f>
        <v>1.5</v>
      </c>
      <c r="J86" s="81">
        <v>3</v>
      </c>
      <c r="K86" s="103">
        <f t="shared" si="209"/>
        <v>0</v>
      </c>
      <c r="L86" s="103">
        <f t="shared" si="210"/>
        <v>0</v>
      </c>
      <c r="M86" s="81"/>
      <c r="N86" s="103">
        <f t="shared" si="211"/>
        <v>0</v>
      </c>
      <c r="O86" s="103">
        <f t="shared" si="212"/>
        <v>0</v>
      </c>
      <c r="P86" s="81"/>
      <c r="Q86" s="103">
        <f t="shared" si="213"/>
        <v>0</v>
      </c>
      <c r="R86" s="103">
        <f t="shared" si="214"/>
        <v>0</v>
      </c>
      <c r="S86" s="104">
        <f t="shared" si="219"/>
        <v>0</v>
      </c>
      <c r="T86" s="104">
        <f t="shared" si="219"/>
        <v>0</v>
      </c>
      <c r="U86" s="18"/>
      <c r="V86" s="26"/>
      <c r="W86" s="21"/>
      <c r="X86" s="21"/>
      <c r="Y86" s="21"/>
      <c r="Z86" s="21"/>
      <c r="AA86" s="21"/>
      <c r="AB86" s="21">
        <f t="shared" si="215"/>
        <v>0</v>
      </c>
      <c r="AC86" s="27"/>
      <c r="AD86" s="21"/>
      <c r="AE86" s="21">
        <f t="shared" si="216"/>
        <v>0</v>
      </c>
      <c r="AF86" s="21">
        <f t="shared" si="217"/>
        <v>0</v>
      </c>
      <c r="AG86" s="27"/>
      <c r="AH86" s="396">
        <v>1</v>
      </c>
      <c r="AI86" s="21">
        <f t="shared" si="218"/>
        <v>0.97512140250000012</v>
      </c>
      <c r="AK86" s="301">
        <f t="shared" si="195"/>
        <v>0</v>
      </c>
      <c r="AL86" s="301"/>
      <c r="AM86" s="301"/>
      <c r="AN86" s="301"/>
      <c r="AO86" s="299">
        <f>+E86*F86*G86</f>
        <v>0</v>
      </c>
      <c r="AP86" s="301"/>
      <c r="AQ86" s="301"/>
      <c r="AT86" s="28">
        <f t="shared" si="167"/>
        <v>0</v>
      </c>
    </row>
    <row r="87" spans="2:46" s="28" customFormat="1" ht="20.100000000000001" customHeight="1" x14ac:dyDescent="0.3">
      <c r="B87" s="369"/>
      <c r="C87" s="370"/>
      <c r="D87" s="371"/>
      <c r="E87" s="369"/>
      <c r="F87" s="369"/>
      <c r="G87" s="371"/>
      <c r="H87" s="371"/>
      <c r="I87" s="374"/>
      <c r="J87" s="397"/>
      <c r="K87" s="398"/>
      <c r="L87" s="398"/>
      <c r="M87" s="397"/>
      <c r="N87" s="398"/>
      <c r="O87" s="398"/>
      <c r="P87" s="397"/>
      <c r="Q87" s="398"/>
      <c r="R87" s="398"/>
      <c r="S87" s="399"/>
      <c r="T87" s="399"/>
      <c r="U87" s="369"/>
      <c r="V87" s="373"/>
      <c r="W87" s="374"/>
      <c r="X87" s="374"/>
      <c r="Y87" s="374"/>
      <c r="Z87" s="374"/>
      <c r="AA87" s="374"/>
      <c r="AB87" s="374"/>
      <c r="AC87" s="400"/>
      <c r="AD87" s="374"/>
      <c r="AE87" s="374"/>
      <c r="AF87" s="374"/>
      <c r="AG87" s="400"/>
      <c r="AH87" s="401"/>
      <c r="AI87" s="374"/>
      <c r="AK87" s="378"/>
      <c r="AL87" s="378"/>
      <c r="AM87" s="378"/>
      <c r="AN87" s="378"/>
      <c r="AO87" s="374"/>
      <c r="AP87" s="378"/>
      <c r="AQ87" s="378"/>
      <c r="AT87" s="28">
        <f t="shared" si="167"/>
        <v>0</v>
      </c>
    </row>
    <row r="88" spans="2:46" s="28" customFormat="1" ht="20.100000000000001" customHeight="1" x14ac:dyDescent="0.3">
      <c r="B88" s="92"/>
      <c r="C88" s="97" t="s">
        <v>348</v>
      </c>
      <c r="D88" s="92"/>
      <c r="E88" s="92"/>
      <c r="F88" s="92"/>
      <c r="G88" s="92"/>
      <c r="H88" s="92"/>
      <c r="I88" s="94"/>
      <c r="J88" s="92"/>
      <c r="K88" s="92"/>
      <c r="L88" s="92"/>
      <c r="M88" s="92"/>
      <c r="N88" s="92"/>
      <c r="O88" s="92"/>
      <c r="P88" s="92"/>
      <c r="Q88" s="92"/>
      <c r="R88" s="92"/>
      <c r="S88" s="92"/>
      <c r="T88" s="92"/>
      <c r="U88" s="92"/>
      <c r="V88" s="95"/>
      <c r="W88" s="92"/>
      <c r="X88" s="92"/>
      <c r="Y88" s="92"/>
      <c r="Z88" s="92"/>
      <c r="AA88" s="92"/>
      <c r="AB88" s="92"/>
      <c r="AC88" s="95"/>
      <c r="AD88" s="92"/>
      <c r="AE88" s="92"/>
      <c r="AF88" s="92"/>
      <c r="AG88" s="95"/>
      <c r="AH88" s="304"/>
      <c r="AI88" s="301"/>
      <c r="AK88" s="301"/>
      <c r="AL88" s="301"/>
      <c r="AM88" s="301"/>
      <c r="AN88" s="301"/>
      <c r="AO88" s="299"/>
      <c r="AP88" s="301"/>
      <c r="AQ88" s="301"/>
      <c r="AT88" s="28">
        <f t="shared" si="167"/>
        <v>0</v>
      </c>
    </row>
    <row r="89" spans="2:46" s="28" customFormat="1" ht="20.100000000000001" customHeight="1" x14ac:dyDescent="0.3">
      <c r="B89" s="92"/>
      <c r="C89" s="62" t="s">
        <v>33</v>
      </c>
      <c r="D89" s="98">
        <v>0.33300000000000002</v>
      </c>
      <c r="E89" s="92">
        <f>1*0</f>
        <v>0</v>
      </c>
      <c r="F89" s="92">
        <f>1*0</f>
        <v>0</v>
      </c>
      <c r="G89" s="98">
        <f>(7.77)*3.281</f>
        <v>25.493369999999999</v>
      </c>
      <c r="H89" s="98">
        <f>+D89</f>
        <v>0.33300000000000002</v>
      </c>
      <c r="I89" s="94">
        <v>2</v>
      </c>
      <c r="J89" s="99">
        <v>3</v>
      </c>
      <c r="K89" s="100">
        <f>+IF(D89=0.667,E89*F89*G89*H89*J89,0)</f>
        <v>0</v>
      </c>
      <c r="L89" s="100">
        <f>+IF(D89=0.333,E89*F89*G89*J89,0)</f>
        <v>0</v>
      </c>
      <c r="M89" s="99">
        <v>4</v>
      </c>
      <c r="N89" s="100">
        <f>+IF(D89=0.667,E89*F89*G89*H89*M89,0)</f>
        <v>0</v>
      </c>
      <c r="O89" s="100">
        <f>+IF(D89=0.333,E89*F89*G89*M89,0)</f>
        <v>0</v>
      </c>
      <c r="P89" s="81">
        <f>11.833-I89-M89-J89</f>
        <v>2.8330000000000002</v>
      </c>
      <c r="Q89" s="100">
        <f>+IF(D89=0.667,E89*F89*G89*H89*P89,0)</f>
        <v>0</v>
      </c>
      <c r="R89" s="100">
        <f>+IF(D89=0.333,E89*F89*G89*P89,0)</f>
        <v>0</v>
      </c>
      <c r="S89" s="101">
        <f t="shared" ref="S89:T104" si="220">+Q89+N89+K89</f>
        <v>0</v>
      </c>
      <c r="T89" s="101">
        <f t="shared" si="220"/>
        <v>0</v>
      </c>
      <c r="U89" s="92"/>
      <c r="V89" s="91"/>
      <c r="W89" s="102"/>
      <c r="X89" s="98"/>
      <c r="Y89" s="102"/>
      <c r="Z89" s="98"/>
      <c r="AA89" s="98"/>
      <c r="AB89" s="98"/>
      <c r="AC89" s="91"/>
      <c r="AD89" s="98"/>
      <c r="AE89" s="98"/>
      <c r="AF89" s="98"/>
      <c r="AG89" s="91"/>
      <c r="AH89" s="304">
        <v>1</v>
      </c>
      <c r="AI89" s="299">
        <f>+AH89*G89*D89*0.17</f>
        <v>1.4431796757000002</v>
      </c>
      <c r="AK89" s="301">
        <f t="shared" ref="AK89:AK92" si="221">+IF(D89=0.667,E89*F89*G89,0)</f>
        <v>0</v>
      </c>
      <c r="AL89" s="301">
        <f t="shared" ref="AL89:AL92" si="222">+IF(D89=0.333,E89*F89*G89,0)</f>
        <v>0</v>
      </c>
      <c r="AM89" s="301"/>
      <c r="AN89" s="301"/>
      <c r="AO89" s="299"/>
      <c r="AP89" s="301"/>
      <c r="AQ89" s="301"/>
      <c r="AT89" s="28">
        <f t="shared" si="167"/>
        <v>0</v>
      </c>
    </row>
    <row r="90" spans="2:46" s="28" customFormat="1" ht="20.100000000000001" customHeight="1" x14ac:dyDescent="0.3">
      <c r="B90" s="18"/>
      <c r="C90" s="62" t="s">
        <v>34</v>
      </c>
      <c r="D90" s="98">
        <v>0.33300000000000002</v>
      </c>
      <c r="E90" s="18">
        <f>-1*0</f>
        <v>0</v>
      </c>
      <c r="F90" s="18">
        <f>2*0</f>
        <v>0</v>
      </c>
      <c r="G90" s="20">
        <v>3.25</v>
      </c>
      <c r="H90" s="20">
        <f t="shared" ref="H90" si="223">+D90</f>
        <v>0.33300000000000002</v>
      </c>
      <c r="I90" s="21"/>
      <c r="J90" s="81">
        <v>3</v>
      </c>
      <c r="K90" s="103">
        <f t="shared" ref="K90" si="224">+IF(D90=0.667,E90*F90*G90*H90*J90,0)</f>
        <v>0</v>
      </c>
      <c r="L90" s="103">
        <f t="shared" ref="L90" si="225">+IF(D90=0.333,E90*F90*G90*J90,0)</f>
        <v>0</v>
      </c>
      <c r="M90" s="81">
        <v>4</v>
      </c>
      <c r="N90" s="103">
        <f t="shared" ref="N90" si="226">+IF(D90=0.667,E90*F90*G90*H90*M90,0)</f>
        <v>0</v>
      </c>
      <c r="O90" s="103">
        <f t="shared" ref="O90" si="227">+IF(D90=0.333,E90*F90*G90*M90,0)</f>
        <v>0</v>
      </c>
      <c r="P90" s="81"/>
      <c r="Q90" s="103">
        <f t="shared" ref="Q90" si="228">+IF(D90=0.667,E90*F90*G90*H90*P90,0)</f>
        <v>0</v>
      </c>
      <c r="R90" s="103">
        <f t="shared" ref="R90" si="229">+IF(D90=0.333,E90*F90*G90*P90,0)</f>
        <v>0</v>
      </c>
      <c r="S90" s="104">
        <f t="shared" si="220"/>
        <v>0</v>
      </c>
      <c r="T90" s="104">
        <f t="shared" si="220"/>
        <v>0</v>
      </c>
      <c r="U90" s="18"/>
      <c r="V90" s="26"/>
      <c r="W90" s="21">
        <f>+G90+D90</f>
        <v>3.5830000000000002</v>
      </c>
      <c r="X90" s="21">
        <v>0.5</v>
      </c>
      <c r="Y90" s="21">
        <f>+IF(D90=0.667,-E90*F90*H90*W90*X90,0)</f>
        <v>0</v>
      </c>
      <c r="Z90" s="21">
        <f>+IF(D90=0.333,-E90*F90*H90*W90*X90,0)</f>
        <v>0</v>
      </c>
      <c r="AA90" s="21">
        <f>+F90*G90*H90</f>
        <v>0</v>
      </c>
      <c r="AB90" s="21">
        <f t="shared" ref="AB90" si="230">2*F90*W90*X90</f>
        <v>0</v>
      </c>
      <c r="AC90" s="27"/>
      <c r="AD90" s="21"/>
      <c r="AE90" s="21">
        <f t="shared" ref="AE90" si="231">+IF(D90=0.667,AD90*W90*H90*F90,0)</f>
        <v>0</v>
      </c>
      <c r="AF90" s="21">
        <f t="shared" ref="AF90" si="232">+IF(D90=0.333,AD90*W90*H90*F90,0)</f>
        <v>0</v>
      </c>
      <c r="AG90" s="27"/>
      <c r="AH90" s="396"/>
      <c r="AI90" s="21">
        <f t="shared" ref="AI90" si="233">+AH90*G90*D90*0.17</f>
        <v>0</v>
      </c>
      <c r="AK90" s="301">
        <f t="shared" si="221"/>
        <v>0</v>
      </c>
      <c r="AL90" s="301">
        <f t="shared" si="222"/>
        <v>0</v>
      </c>
      <c r="AM90" s="301"/>
      <c r="AN90" s="301">
        <f>+IF(D90=0.333,1.33,0)*0</f>
        <v>0</v>
      </c>
      <c r="AO90" s="299"/>
      <c r="AP90" s="301"/>
      <c r="AQ90" s="301"/>
      <c r="AT90" s="28">
        <f t="shared" si="167"/>
        <v>0</v>
      </c>
    </row>
    <row r="91" spans="2:46" s="28" customFormat="1" ht="20.100000000000001" customHeight="1" x14ac:dyDescent="0.3">
      <c r="B91" s="92"/>
      <c r="C91" s="62" t="s">
        <v>31</v>
      </c>
      <c r="D91" s="98">
        <v>0.66700000000000004</v>
      </c>
      <c r="E91" s="92">
        <f>1*0</f>
        <v>0</v>
      </c>
      <c r="F91" s="92">
        <f>1*0</f>
        <v>0</v>
      </c>
      <c r="G91" s="98">
        <f>(3.467+4.27+2.442)*3.281</f>
        <v>33.397299000000004</v>
      </c>
      <c r="H91" s="98">
        <f>+D91</f>
        <v>0.66700000000000004</v>
      </c>
      <c r="I91" s="94">
        <v>2</v>
      </c>
      <c r="J91" s="99">
        <v>3</v>
      </c>
      <c r="K91" s="100">
        <f>+IF(D91=0.667,E91*F91*G91*H91*J91,0)</f>
        <v>0</v>
      </c>
      <c r="L91" s="100">
        <f>+IF(D91=0.333,E91*F91*G91*J91,0)</f>
        <v>0</v>
      </c>
      <c r="M91" s="99">
        <v>4</v>
      </c>
      <c r="N91" s="100">
        <f>+IF(D91=0.667,E91*F91*G91*H91*M91,0)</f>
        <v>0</v>
      </c>
      <c r="O91" s="100">
        <f>+IF(D91=0.333,E91*F91*G91*M91,0)</f>
        <v>0</v>
      </c>
      <c r="P91" s="81">
        <f t="shared" ref="P91:P92" si="234">11.833-I91-M91-J91</f>
        <v>2.8330000000000002</v>
      </c>
      <c r="Q91" s="100">
        <f>+IF(D91=0.667,E91*F91*G91*H91*P91,0)</f>
        <v>0</v>
      </c>
      <c r="R91" s="100">
        <f>+IF(D91=0.333,E91*F91*G91*P91,0)</f>
        <v>0</v>
      </c>
      <c r="S91" s="101">
        <f t="shared" si="220"/>
        <v>0</v>
      </c>
      <c r="T91" s="101">
        <f t="shared" si="220"/>
        <v>0</v>
      </c>
      <c r="U91" s="92"/>
      <c r="V91" s="91"/>
      <c r="W91" s="102"/>
      <c r="X91" s="98"/>
      <c r="Y91" s="102"/>
      <c r="Z91" s="98"/>
      <c r="AA91" s="98"/>
      <c r="AB91" s="98"/>
      <c r="AC91" s="91"/>
      <c r="AD91" s="98"/>
      <c r="AE91" s="98"/>
      <c r="AF91" s="98"/>
      <c r="AG91" s="91"/>
      <c r="AH91" s="304">
        <v>1</v>
      </c>
      <c r="AI91" s="299">
        <f>+AH91*G91*D91*0.17</f>
        <v>3.7869197336100013</v>
      </c>
      <c r="AK91" s="301">
        <f t="shared" si="221"/>
        <v>0</v>
      </c>
      <c r="AL91" s="301">
        <f t="shared" si="222"/>
        <v>0</v>
      </c>
      <c r="AM91" s="301"/>
      <c r="AN91" s="301"/>
      <c r="AO91" s="299"/>
      <c r="AP91" s="301"/>
      <c r="AQ91" s="301"/>
      <c r="AT91" s="28">
        <f t="shared" si="167"/>
        <v>0</v>
      </c>
    </row>
    <row r="92" spans="2:46" s="28" customFormat="1" ht="20.100000000000001" customHeight="1" x14ac:dyDescent="0.3">
      <c r="B92" s="92"/>
      <c r="C92" s="62" t="s">
        <v>32</v>
      </c>
      <c r="D92" s="98">
        <v>0.66700000000000004</v>
      </c>
      <c r="E92" s="92">
        <f>1*0</f>
        <v>0</v>
      </c>
      <c r="F92" s="92">
        <f>1*0</f>
        <v>0</v>
      </c>
      <c r="G92" s="98">
        <f>(2.35+3.155)*3.281</f>
        <v>18.061904999999999</v>
      </c>
      <c r="H92" s="98">
        <f>+D92</f>
        <v>0.66700000000000004</v>
      </c>
      <c r="I92" s="94">
        <v>2</v>
      </c>
      <c r="J92" s="99">
        <v>3</v>
      </c>
      <c r="K92" s="100">
        <f>+IF(D92=0.667,E92*F92*G92*H92*J92,0)</f>
        <v>0</v>
      </c>
      <c r="L92" s="100">
        <f>+IF(D92=0.333,E92*F92*G92*J92,0)</f>
        <v>0</v>
      </c>
      <c r="M92" s="99">
        <v>4</v>
      </c>
      <c r="N92" s="100">
        <f>+IF(D92=0.667,E92*F92*G92*H92*M92,0)</f>
        <v>0</v>
      </c>
      <c r="O92" s="100">
        <f>+IF(D92=0.333,E92*F92*G92*M92,0)</f>
        <v>0</v>
      </c>
      <c r="P92" s="81">
        <f t="shared" si="234"/>
        <v>2.8330000000000002</v>
      </c>
      <c r="Q92" s="100">
        <f>+IF(D92=0.667,E92*F92*G92*H92*P92,0)</f>
        <v>0</v>
      </c>
      <c r="R92" s="100">
        <f>+IF(D92=0.333,E92*F92*G92*P92,0)</f>
        <v>0</v>
      </c>
      <c r="S92" s="101">
        <f t="shared" si="220"/>
        <v>0</v>
      </c>
      <c r="T92" s="101">
        <f t="shared" si="220"/>
        <v>0</v>
      </c>
      <c r="U92" s="92"/>
      <c r="V92" s="91"/>
      <c r="W92" s="102"/>
      <c r="X92" s="98"/>
      <c r="Y92" s="102"/>
      <c r="Z92" s="98"/>
      <c r="AA92" s="98"/>
      <c r="AB92" s="98"/>
      <c r="AC92" s="91"/>
      <c r="AD92" s="98"/>
      <c r="AE92" s="98"/>
      <c r="AF92" s="98"/>
      <c r="AG92" s="91"/>
      <c r="AH92" s="304">
        <v>1</v>
      </c>
      <c r="AI92" s="299">
        <f>+AH92*G92*D92*0.17</f>
        <v>2.0480394079500002</v>
      </c>
      <c r="AK92" s="301">
        <f t="shared" si="221"/>
        <v>0</v>
      </c>
      <c r="AL92" s="301">
        <f t="shared" si="222"/>
        <v>0</v>
      </c>
      <c r="AM92" s="301"/>
      <c r="AN92" s="301"/>
      <c r="AO92" s="299"/>
      <c r="AP92" s="301"/>
      <c r="AQ92" s="301"/>
      <c r="AT92" s="28">
        <f t="shared" si="167"/>
        <v>0</v>
      </c>
    </row>
    <row r="93" spans="2:46" s="28" customFormat="1" ht="20.100000000000001" customHeight="1" x14ac:dyDescent="0.3">
      <c r="B93" s="18"/>
      <c r="C93" s="62" t="s">
        <v>48</v>
      </c>
      <c r="D93" s="298">
        <v>0.66700000000000004</v>
      </c>
      <c r="E93" s="18">
        <f>-1*0</f>
        <v>0</v>
      </c>
      <c r="F93" s="18">
        <f>2*0</f>
        <v>0</v>
      </c>
      <c r="G93" s="20">
        <v>5</v>
      </c>
      <c r="H93" s="20">
        <f t="shared" ref="H93" si="235">+D93</f>
        <v>0.66700000000000004</v>
      </c>
      <c r="I93" s="21"/>
      <c r="J93" s="81"/>
      <c r="K93" s="103">
        <f t="shared" ref="K93" si="236">+IF(D93=0.667,E93*F93*G93*H93*J93,0)</f>
        <v>0</v>
      </c>
      <c r="L93" s="103">
        <f t="shared" ref="L93" si="237">+IF(D93=0.333,E93*F93*G93*J93,0)</f>
        <v>0</v>
      </c>
      <c r="M93" s="81">
        <v>2.25</v>
      </c>
      <c r="N93" s="103">
        <f t="shared" ref="N93" si="238">+IF(D93=0.667,E93*F93*G93*H93*M93,0)</f>
        <v>0</v>
      </c>
      <c r="O93" s="103">
        <f t="shared" ref="O93" si="239">+IF(D93=0.333,E93*F93*G93*M93,0)</f>
        <v>0</v>
      </c>
      <c r="P93" s="81"/>
      <c r="Q93" s="103">
        <f t="shared" ref="Q93" si="240">+IF(D93=0.667,E93*F93*G93*H93*P93,0)</f>
        <v>0</v>
      </c>
      <c r="R93" s="103">
        <f t="shared" ref="R93" si="241">+IF(D93=0.333,E93*F93*G93*P93,0)</f>
        <v>0</v>
      </c>
      <c r="S93" s="104">
        <f t="shared" si="220"/>
        <v>0</v>
      </c>
      <c r="T93" s="104">
        <f t="shared" si="220"/>
        <v>0</v>
      </c>
      <c r="U93" s="18"/>
      <c r="V93" s="26"/>
      <c r="W93" s="21">
        <f>+G93+D93</f>
        <v>5.6669999999999998</v>
      </c>
      <c r="X93" s="21">
        <v>0.5</v>
      </c>
      <c r="Y93" s="21">
        <f>+IF(D93=0.667,-E93*F93*H93*W93*X93,0)</f>
        <v>0</v>
      </c>
      <c r="Z93" s="21">
        <f>+IF(D93=0.333,-E93*F93*H93*W93*X93,0)</f>
        <v>0</v>
      </c>
      <c r="AA93" s="21">
        <f>+F93*G93*H93</f>
        <v>0</v>
      </c>
      <c r="AB93" s="21">
        <f t="shared" ref="AB93" si="242">2*F93*W93*X93</f>
        <v>0</v>
      </c>
      <c r="AC93" s="27"/>
      <c r="AD93" s="21">
        <v>0.16700000000000001</v>
      </c>
      <c r="AE93" s="21">
        <f t="shared" ref="AE93" si="243">+IF(D93=0.667,AD93*W93*H93*F93,0)</f>
        <v>0</v>
      </c>
      <c r="AF93" s="21">
        <f t="shared" ref="AF93" si="244">+IF(D93=0.333,AD93*W93*H93*F93,0)</f>
        <v>0</v>
      </c>
      <c r="AG93" s="27"/>
      <c r="AH93" s="396"/>
      <c r="AI93" s="21">
        <f t="shared" ref="AI93" si="245">+AH93*G93*D93*0.17</f>
        <v>0</v>
      </c>
      <c r="AK93" s="301"/>
      <c r="AL93" s="301"/>
      <c r="AM93" s="301"/>
      <c r="AN93" s="301"/>
      <c r="AO93" s="299"/>
      <c r="AP93" s="301"/>
      <c r="AQ93" s="301"/>
      <c r="AT93" s="28">
        <f t="shared" si="167"/>
        <v>0</v>
      </c>
    </row>
    <row r="94" spans="2:46" s="28" customFormat="1" ht="20.100000000000001" customHeight="1" x14ac:dyDescent="0.3">
      <c r="B94" s="92"/>
      <c r="C94" s="62" t="s">
        <v>38</v>
      </c>
      <c r="D94" s="98">
        <v>0.66700000000000004</v>
      </c>
      <c r="E94" s="92">
        <f t="shared" ref="E94:F96" si="246">1*0</f>
        <v>0</v>
      </c>
      <c r="F94" s="92">
        <f t="shared" si="246"/>
        <v>0</v>
      </c>
      <c r="G94" s="98">
        <f>(3.467+7.005)*3.281</f>
        <v>34.358632</v>
      </c>
      <c r="H94" s="98">
        <f>+D94</f>
        <v>0.66700000000000004</v>
      </c>
      <c r="I94" s="94">
        <v>2</v>
      </c>
      <c r="J94" s="99">
        <v>3</v>
      </c>
      <c r="K94" s="100">
        <f>+IF(D94=0.667,E94*F94*G94*H94*J94,0)</f>
        <v>0</v>
      </c>
      <c r="L94" s="100">
        <f>+IF(D94=0.333,E94*F94*G94*J94,0)</f>
        <v>0</v>
      </c>
      <c r="M94" s="99">
        <v>4</v>
      </c>
      <c r="N94" s="100">
        <f>+IF(D94=0.667,E94*F94*G94*H94*M94,0)</f>
        <v>0</v>
      </c>
      <c r="O94" s="100">
        <f>+IF(D94=0.333,E94*F94*G94*M94,0)</f>
        <v>0</v>
      </c>
      <c r="P94" s="81">
        <f t="shared" ref="P94:P96" si="247">11.833-I94-M94-J94</f>
        <v>2.8330000000000002</v>
      </c>
      <c r="Q94" s="100">
        <f>+IF(D94=0.667,E94*F94*G94*H94*P94,0)</f>
        <v>0</v>
      </c>
      <c r="R94" s="100">
        <f>+IF(D94=0.333,E94*F94*G94*P94,0)</f>
        <v>0</v>
      </c>
      <c r="S94" s="101">
        <f t="shared" si="220"/>
        <v>0</v>
      </c>
      <c r="T94" s="101">
        <f t="shared" si="220"/>
        <v>0</v>
      </c>
      <c r="U94" s="92"/>
      <c r="V94" s="91"/>
      <c r="W94" s="102"/>
      <c r="X94" s="98"/>
      <c r="Y94" s="102"/>
      <c r="Z94" s="98"/>
      <c r="AA94" s="98"/>
      <c r="AB94" s="98"/>
      <c r="AC94" s="91"/>
      <c r="AD94" s="98"/>
      <c r="AE94" s="98"/>
      <c r="AF94" s="98"/>
      <c r="AG94" s="91"/>
      <c r="AH94" s="304">
        <v>1</v>
      </c>
      <c r="AI94" s="299">
        <f>+AH94*G94*D94*0.17</f>
        <v>3.8959252824800004</v>
      </c>
      <c r="AK94" s="301">
        <f t="shared" ref="AK94:AK96" si="248">+IF(D94=0.667,E94*F94*G94,0)</f>
        <v>0</v>
      </c>
      <c r="AL94" s="301">
        <f t="shared" ref="AL94:AL96" si="249">+IF(D94=0.333,E94*F94*G94,0)</f>
        <v>0</v>
      </c>
      <c r="AM94" s="301"/>
      <c r="AN94" s="301"/>
      <c r="AO94" s="299"/>
      <c r="AP94" s="301"/>
      <c r="AQ94" s="301"/>
      <c r="AT94" s="28">
        <f t="shared" si="167"/>
        <v>0</v>
      </c>
    </row>
    <row r="95" spans="2:46" s="28" customFormat="1" ht="20.100000000000001" customHeight="1" x14ac:dyDescent="0.3">
      <c r="B95" s="92"/>
      <c r="C95" s="62" t="s">
        <v>339</v>
      </c>
      <c r="D95" s="98">
        <v>0.66700000000000004</v>
      </c>
      <c r="E95" s="92">
        <f t="shared" si="246"/>
        <v>0</v>
      </c>
      <c r="F95" s="92">
        <f t="shared" si="246"/>
        <v>0</v>
      </c>
      <c r="G95" s="98">
        <f>(9.66)*3.281</f>
        <v>31.694460000000003</v>
      </c>
      <c r="H95" s="98">
        <f>+D95</f>
        <v>0.66700000000000004</v>
      </c>
      <c r="I95" s="94">
        <v>2</v>
      </c>
      <c r="J95" s="99">
        <v>3</v>
      </c>
      <c r="K95" s="100">
        <f>+IF(D95=0.667,E95*F95*G95*H95*J95,0)</f>
        <v>0</v>
      </c>
      <c r="L95" s="100">
        <f>+IF(D95=0.333,E95*F95*G95*J95,0)</f>
        <v>0</v>
      </c>
      <c r="M95" s="99">
        <v>4</v>
      </c>
      <c r="N95" s="100">
        <f>+IF(D95=0.667,E95*F95*G95*H95*M95,0)</f>
        <v>0</v>
      </c>
      <c r="O95" s="100">
        <f>+IF(D95=0.333,E95*F95*G95*M95,0)</f>
        <v>0</v>
      </c>
      <c r="P95" s="81">
        <f t="shared" si="247"/>
        <v>2.8330000000000002</v>
      </c>
      <c r="Q95" s="100">
        <f>+IF(D95=0.667,E95*F95*G95*H95*P95,0)</f>
        <v>0</v>
      </c>
      <c r="R95" s="100">
        <f>+IF(D95=0.333,E95*F95*G95*P95,0)</f>
        <v>0</v>
      </c>
      <c r="S95" s="101">
        <f t="shared" si="220"/>
        <v>0</v>
      </c>
      <c r="T95" s="101">
        <f t="shared" si="220"/>
        <v>0</v>
      </c>
      <c r="U95" s="92"/>
      <c r="V95" s="91"/>
      <c r="W95" s="102"/>
      <c r="X95" s="98"/>
      <c r="Y95" s="102"/>
      <c r="Z95" s="98"/>
      <c r="AA95" s="98"/>
      <c r="AB95" s="98"/>
      <c r="AC95" s="91"/>
      <c r="AD95" s="98"/>
      <c r="AE95" s="98"/>
      <c r="AF95" s="98"/>
      <c r="AG95" s="91"/>
      <c r="AH95" s="304">
        <v>1</v>
      </c>
      <c r="AI95" s="299">
        <f>+AH95*G95*D95*0.17</f>
        <v>3.5938348194000009</v>
      </c>
      <c r="AK95" s="301">
        <f t="shared" si="248"/>
        <v>0</v>
      </c>
      <c r="AL95" s="301">
        <f t="shared" si="249"/>
        <v>0</v>
      </c>
      <c r="AM95" s="301"/>
      <c r="AN95" s="301"/>
      <c r="AO95" s="299"/>
      <c r="AP95" s="301"/>
      <c r="AQ95" s="301"/>
      <c r="AT95" s="28">
        <f t="shared" si="167"/>
        <v>0</v>
      </c>
    </row>
    <row r="96" spans="2:46" s="28" customFormat="1" ht="20.100000000000001" customHeight="1" x14ac:dyDescent="0.3">
      <c r="B96" s="18"/>
      <c r="C96" s="62" t="s">
        <v>43</v>
      </c>
      <c r="D96" s="298">
        <v>0.66700000000000004</v>
      </c>
      <c r="E96" s="92">
        <f t="shared" si="246"/>
        <v>0</v>
      </c>
      <c r="F96" s="92">
        <f t="shared" si="246"/>
        <v>0</v>
      </c>
      <c r="G96" s="20">
        <f>(2.08+2.08+1.365)*3.281</f>
        <v>18.127525000000002</v>
      </c>
      <c r="H96" s="20">
        <f>+D96</f>
        <v>0.66700000000000004</v>
      </c>
      <c r="I96" s="21">
        <v>2</v>
      </c>
      <c r="J96" s="81">
        <v>3</v>
      </c>
      <c r="K96" s="103">
        <f>+IF(D96=0.667,E96*F96*G96*H96*J96,0)</f>
        <v>0</v>
      </c>
      <c r="L96" s="103">
        <f>+IF(D96=0.333,E96*F96*G96*J96,0)</f>
        <v>0</v>
      </c>
      <c r="M96" s="81">
        <v>4</v>
      </c>
      <c r="N96" s="103">
        <f>+IF(D96=0.667,E96*F96*G96*H96*M96,0)</f>
        <v>0</v>
      </c>
      <c r="O96" s="103">
        <f>+IF(D96=0.333,E96*F96*G96*M96,0)</f>
        <v>0</v>
      </c>
      <c r="P96" s="81">
        <f t="shared" si="247"/>
        <v>2.8330000000000002</v>
      </c>
      <c r="Q96" s="103">
        <f>+IF(D96=0.667,E96*F96*G96*H96*P96,0)</f>
        <v>0</v>
      </c>
      <c r="R96" s="103">
        <f>+IF(D96=0.333,E96*F96*G96*P96,0)</f>
        <v>0</v>
      </c>
      <c r="S96" s="104">
        <f t="shared" si="220"/>
        <v>0</v>
      </c>
      <c r="T96" s="104">
        <f t="shared" si="220"/>
        <v>0</v>
      </c>
      <c r="U96" s="18"/>
      <c r="V96" s="26"/>
      <c r="W96" s="21"/>
      <c r="X96" s="21"/>
      <c r="Y96" s="21"/>
      <c r="Z96" s="21"/>
      <c r="AA96" s="21"/>
      <c r="AB96" s="21"/>
      <c r="AC96" s="27"/>
      <c r="AD96" s="21"/>
      <c r="AE96" s="21"/>
      <c r="AF96" s="21"/>
      <c r="AG96" s="27"/>
      <c r="AH96" s="396">
        <v>1</v>
      </c>
      <c r="AI96" s="21">
        <f>+AH96*G96*D96*0.17</f>
        <v>2.0554800597500003</v>
      </c>
      <c r="AK96" s="301">
        <f t="shared" si="248"/>
        <v>0</v>
      </c>
      <c r="AL96" s="301">
        <f t="shared" si="249"/>
        <v>0</v>
      </c>
      <c r="AM96" s="301"/>
      <c r="AN96" s="301"/>
      <c r="AO96" s="299"/>
      <c r="AP96" s="301"/>
      <c r="AQ96" s="301"/>
      <c r="AT96" s="28">
        <f t="shared" si="167"/>
        <v>0</v>
      </c>
    </row>
    <row r="97" spans="2:46" s="28" customFormat="1" ht="20.100000000000001" customHeight="1" x14ac:dyDescent="0.3">
      <c r="B97" s="18"/>
      <c r="C97" s="62" t="s">
        <v>246</v>
      </c>
      <c r="D97" s="298">
        <v>0.66700000000000004</v>
      </c>
      <c r="E97" s="18">
        <f>-1*0</f>
        <v>0</v>
      </c>
      <c r="F97" s="18">
        <f>2*0</f>
        <v>0</v>
      </c>
      <c r="G97" s="20">
        <v>2</v>
      </c>
      <c r="H97" s="20">
        <f t="shared" ref="H97" si="250">+D97</f>
        <v>0.66700000000000004</v>
      </c>
      <c r="I97" s="21"/>
      <c r="J97" s="81"/>
      <c r="K97" s="103">
        <f t="shared" ref="K97" si="251">+IF(D97=0.667,E97*F97*G97*H97*J97,0)</f>
        <v>0</v>
      </c>
      <c r="L97" s="103">
        <f t="shared" ref="L97" si="252">+IF(D97=0.333,E97*F97*G97*J97,0)</f>
        <v>0</v>
      </c>
      <c r="M97" s="81">
        <v>0</v>
      </c>
      <c r="N97" s="103">
        <f t="shared" ref="N97" si="253">+IF(D97=0.667,E97*F97*G97*H97*M97,0)</f>
        <v>0</v>
      </c>
      <c r="O97" s="103">
        <f t="shared" ref="O97" si="254">+IF(D97=0.333,E97*F97*G97*M97,0)</f>
        <v>0</v>
      </c>
      <c r="P97" s="81">
        <v>2</v>
      </c>
      <c r="Q97" s="103">
        <f t="shared" ref="Q97" si="255">+IF(D97=0.667,E97*F97*G97*H97*P97,0)</f>
        <v>0</v>
      </c>
      <c r="R97" s="103">
        <f t="shared" ref="R97" si="256">+IF(D97=0.333,E97*F97*G97*P97,0)</f>
        <v>0</v>
      </c>
      <c r="S97" s="104">
        <f t="shared" si="220"/>
        <v>0</v>
      </c>
      <c r="T97" s="104">
        <f t="shared" si="220"/>
        <v>0</v>
      </c>
      <c r="U97" s="18"/>
      <c r="V97" s="26"/>
      <c r="W97" s="21">
        <f>+G97+D97</f>
        <v>2.6669999999999998</v>
      </c>
      <c r="X97" s="21">
        <v>0.5</v>
      </c>
      <c r="Y97" s="21">
        <f>+IF(D97=0.667,-E97*F97*H97*W97*X97,0)</f>
        <v>0</v>
      </c>
      <c r="Z97" s="21">
        <f>+IF(D97=0.333,-E97*F97*H97*W97*X97,0)</f>
        <v>0</v>
      </c>
      <c r="AA97" s="21">
        <f>+F97*G97*H97</f>
        <v>0</v>
      </c>
      <c r="AB97" s="21">
        <f t="shared" ref="AB97" si="257">2*F97*W97*X97</f>
        <v>0</v>
      </c>
      <c r="AC97" s="27"/>
      <c r="AD97" s="21">
        <v>0.16700000000000001</v>
      </c>
      <c r="AE97" s="21">
        <f t="shared" ref="AE97" si="258">+IF(D97=0.667,AD97*W97*H97*F97,0)</f>
        <v>0</v>
      </c>
      <c r="AF97" s="21">
        <f t="shared" ref="AF97" si="259">+IF(D97=0.333,AD97*W97*H97*F97,0)</f>
        <v>0</v>
      </c>
      <c r="AG97" s="27"/>
      <c r="AH97" s="396"/>
      <c r="AI97" s="21">
        <f t="shared" ref="AI97" si="260">+AH97*G97*D97*0.17</f>
        <v>0</v>
      </c>
      <c r="AK97" s="301"/>
      <c r="AL97" s="301"/>
      <c r="AM97" s="301"/>
      <c r="AN97" s="301"/>
      <c r="AO97" s="299"/>
      <c r="AP97" s="301"/>
      <c r="AQ97" s="301"/>
      <c r="AT97" s="28">
        <f t="shared" si="167"/>
        <v>0</v>
      </c>
    </row>
    <row r="98" spans="2:46" s="28" customFormat="1" ht="20.100000000000001" customHeight="1" x14ac:dyDescent="0.3">
      <c r="B98" s="92"/>
      <c r="C98" s="62" t="s">
        <v>340</v>
      </c>
      <c r="D98" s="98">
        <v>0.33300000000000002</v>
      </c>
      <c r="E98" s="92">
        <f>1*0</f>
        <v>0</v>
      </c>
      <c r="F98" s="92">
        <f>1*0</f>
        <v>0</v>
      </c>
      <c r="G98" s="98">
        <f>(3.985)*3.281</f>
        <v>13.074785</v>
      </c>
      <c r="H98" s="98">
        <f>+D98</f>
        <v>0.33300000000000002</v>
      </c>
      <c r="I98" s="94">
        <v>2</v>
      </c>
      <c r="J98" s="99">
        <v>3</v>
      </c>
      <c r="K98" s="100">
        <f>+IF(D98=0.667,E98*F98*G98*H98*J98,0)</f>
        <v>0</v>
      </c>
      <c r="L98" s="100">
        <f>+IF(D98=0.333,E98*F98*G98*J98,0)</f>
        <v>0</v>
      </c>
      <c r="M98" s="99">
        <v>4</v>
      </c>
      <c r="N98" s="100">
        <f>+IF(D98=0.667,E98*F98*G98*H98*M98,0)</f>
        <v>0</v>
      </c>
      <c r="O98" s="100">
        <f>+IF(D98=0.333,E98*F98*G98*M98,0)</f>
        <v>0</v>
      </c>
      <c r="P98" s="81">
        <f t="shared" ref="P98:P99" si="261">11.833-I98-M98-J98</f>
        <v>2.8330000000000002</v>
      </c>
      <c r="Q98" s="100">
        <f>+IF(D98=0.667,E98*F98*G98*H98*P98,0)</f>
        <v>0</v>
      </c>
      <c r="R98" s="100">
        <f>+IF(D98=0.333,E98*F98*G98*P98,0)</f>
        <v>0</v>
      </c>
      <c r="S98" s="101">
        <f t="shared" si="220"/>
        <v>0</v>
      </c>
      <c r="T98" s="101">
        <f t="shared" si="220"/>
        <v>0</v>
      </c>
      <c r="U98" s="92"/>
      <c r="V98" s="91"/>
      <c r="W98" s="102"/>
      <c r="X98" s="98"/>
      <c r="Y98" s="102"/>
      <c r="Z98" s="98"/>
      <c r="AA98" s="98"/>
      <c r="AB98" s="98"/>
      <c r="AC98" s="91"/>
      <c r="AD98" s="98"/>
      <c r="AE98" s="98"/>
      <c r="AF98" s="98"/>
      <c r="AG98" s="91"/>
      <c r="AH98" s="304">
        <v>1</v>
      </c>
      <c r="AI98" s="299">
        <f>+AH98*G98*D98*0.17</f>
        <v>0.74016357885000017</v>
      </c>
      <c r="AK98" s="301">
        <f t="shared" ref="AK98:AK106" si="262">+IF(D98=0.667,E98*F98*G98,0)</f>
        <v>0</v>
      </c>
      <c r="AL98" s="301">
        <f t="shared" ref="AL98:AL104" si="263">+IF(D98=0.333,E98*F98*G98,0)</f>
        <v>0</v>
      </c>
      <c r="AM98" s="301"/>
      <c r="AN98" s="301"/>
      <c r="AO98" s="299"/>
      <c r="AP98" s="301"/>
      <c r="AQ98" s="301"/>
      <c r="AT98" s="28">
        <f t="shared" si="167"/>
        <v>0</v>
      </c>
    </row>
    <row r="99" spans="2:46" s="28" customFormat="1" ht="20.100000000000001" customHeight="1" x14ac:dyDescent="0.3">
      <c r="B99" s="92"/>
      <c r="C99" s="62" t="s">
        <v>340</v>
      </c>
      <c r="D99" s="98">
        <v>0.33300000000000002</v>
      </c>
      <c r="E99" s="92">
        <f>1*0</f>
        <v>0</v>
      </c>
      <c r="F99" s="92">
        <f>1*0</f>
        <v>0</v>
      </c>
      <c r="G99" s="98">
        <f>(0.65+2.235+2.235+3.492+3.05)*3.281</f>
        <v>38.263021999999999</v>
      </c>
      <c r="H99" s="98">
        <f>+D99</f>
        <v>0.33300000000000002</v>
      </c>
      <c r="I99" s="94">
        <v>2</v>
      </c>
      <c r="J99" s="99">
        <v>3</v>
      </c>
      <c r="K99" s="100">
        <f>+IF(D99=0.667,E99*F99*G99*H99*J99,0)</f>
        <v>0</v>
      </c>
      <c r="L99" s="100">
        <f>+IF(D99=0.333,E99*F99*G99*J99,0)</f>
        <v>0</v>
      </c>
      <c r="M99" s="99">
        <v>4</v>
      </c>
      <c r="N99" s="100">
        <f>+IF(D99=0.667,E99*F99*G99*H99*M99,0)</f>
        <v>0</v>
      </c>
      <c r="O99" s="100">
        <f>+IF(D99=0.333,E99*F99*G99*M99,0)</f>
        <v>0</v>
      </c>
      <c r="P99" s="81">
        <f t="shared" si="261"/>
        <v>2.8330000000000002</v>
      </c>
      <c r="Q99" s="100">
        <f>+IF(D99=0.667,E99*F99*G99*H99*P99,0)</f>
        <v>0</v>
      </c>
      <c r="R99" s="100">
        <f>+IF(D99=0.333,E99*F99*G99*P99,0)</f>
        <v>0</v>
      </c>
      <c r="S99" s="101">
        <f t="shared" si="220"/>
        <v>0</v>
      </c>
      <c r="T99" s="101">
        <f t="shared" si="220"/>
        <v>0</v>
      </c>
      <c r="U99" s="92"/>
      <c r="V99" s="91"/>
      <c r="W99" s="102"/>
      <c r="X99" s="98"/>
      <c r="Y99" s="102"/>
      <c r="Z99" s="98"/>
      <c r="AA99" s="98"/>
      <c r="AB99" s="98"/>
      <c r="AC99" s="91"/>
      <c r="AD99" s="98"/>
      <c r="AE99" s="98"/>
      <c r="AF99" s="98"/>
      <c r="AG99" s="91"/>
      <c r="AH99" s="304">
        <v>1</v>
      </c>
      <c r="AI99" s="299">
        <f>+AH99*G99*D99*0.17</f>
        <v>2.1660696754200002</v>
      </c>
      <c r="AK99" s="301">
        <f t="shared" si="262"/>
        <v>0</v>
      </c>
      <c r="AL99" s="301">
        <f t="shared" si="263"/>
        <v>0</v>
      </c>
      <c r="AM99" s="301"/>
      <c r="AN99" s="301"/>
      <c r="AO99" s="299"/>
      <c r="AP99" s="301"/>
      <c r="AQ99" s="301"/>
      <c r="AT99" s="28">
        <f t="shared" si="167"/>
        <v>0</v>
      </c>
    </row>
    <row r="100" spans="2:46" s="28" customFormat="1" ht="20.100000000000001" customHeight="1" x14ac:dyDescent="0.3">
      <c r="B100" s="18"/>
      <c r="C100" s="62" t="s">
        <v>337</v>
      </c>
      <c r="D100" s="98">
        <v>0.33300000000000002</v>
      </c>
      <c r="E100" s="18">
        <f>-1*0</f>
        <v>0</v>
      </c>
      <c r="F100" s="18">
        <f>2*0</f>
        <v>0</v>
      </c>
      <c r="G100" s="20">
        <v>2.5</v>
      </c>
      <c r="H100" s="20">
        <f t="shared" ref="H100:H101" si="264">+D100</f>
        <v>0.33300000000000002</v>
      </c>
      <c r="I100" s="21"/>
      <c r="J100" s="81">
        <v>3</v>
      </c>
      <c r="K100" s="103">
        <f t="shared" ref="K100:K101" si="265">+IF(D100=0.667,E100*F100*G100*H100*J100,0)</f>
        <v>0</v>
      </c>
      <c r="L100" s="103">
        <f t="shared" ref="L100:L101" si="266">+IF(D100=0.333,E100*F100*G100*J100,0)</f>
        <v>0</v>
      </c>
      <c r="M100" s="81">
        <v>3</v>
      </c>
      <c r="N100" s="103">
        <f t="shared" ref="N100:N101" si="267">+IF(D100=0.667,E100*F100*G100*H100*M100,0)</f>
        <v>0</v>
      </c>
      <c r="O100" s="103">
        <f t="shared" ref="O100:O101" si="268">+IF(D100=0.333,E100*F100*G100*M100,0)</f>
        <v>0</v>
      </c>
      <c r="P100" s="81"/>
      <c r="Q100" s="103">
        <f t="shared" ref="Q100:Q101" si="269">+IF(D100=0.667,E100*F100*G100*H100*P100,0)</f>
        <v>0</v>
      </c>
      <c r="R100" s="103">
        <f t="shared" ref="R100:R101" si="270">+IF(D100=0.333,E100*F100*G100*P100,0)</f>
        <v>0</v>
      </c>
      <c r="S100" s="104">
        <f t="shared" si="220"/>
        <v>0</v>
      </c>
      <c r="T100" s="104">
        <f t="shared" si="220"/>
        <v>0</v>
      </c>
      <c r="U100" s="18"/>
      <c r="V100" s="26"/>
      <c r="W100" s="21">
        <f>+G100+D100</f>
        <v>2.8330000000000002</v>
      </c>
      <c r="X100" s="21">
        <v>0.5</v>
      </c>
      <c r="Y100" s="21">
        <f>+IF(D100=0.667,-E100*F100*H100*W100*X100,0)</f>
        <v>0</v>
      </c>
      <c r="Z100" s="21">
        <f>+IF(D100=0.333,-E100*F100*H100*W100*X100,0)</f>
        <v>0</v>
      </c>
      <c r="AA100" s="21">
        <f>+F100*G100*H100</f>
        <v>0</v>
      </c>
      <c r="AB100" s="21">
        <f t="shared" ref="AB100:AB101" si="271">2*F100*W100*X100</f>
        <v>0</v>
      </c>
      <c r="AC100" s="27"/>
      <c r="AD100" s="21"/>
      <c r="AE100" s="21">
        <f t="shared" ref="AE100:AE101" si="272">+IF(D100=0.667,AD100*W100*H100*F100,0)</f>
        <v>0</v>
      </c>
      <c r="AF100" s="21">
        <f t="shared" ref="AF100:AF101" si="273">+IF(D100=0.333,AD100*W100*H100*F100,0)</f>
        <v>0</v>
      </c>
      <c r="AG100" s="27"/>
      <c r="AH100" s="396"/>
      <c r="AI100" s="21">
        <f t="shared" ref="AI100:AI101" si="274">+AH100*G100*D100*0.17</f>
        <v>0</v>
      </c>
      <c r="AK100" s="301">
        <f t="shared" si="262"/>
        <v>0</v>
      </c>
      <c r="AL100" s="301">
        <f t="shared" si="263"/>
        <v>0</v>
      </c>
      <c r="AM100" s="301"/>
      <c r="AN100" s="301">
        <f>+IF(D100=0.333,1.33,0)*0</f>
        <v>0</v>
      </c>
      <c r="AO100" s="299"/>
      <c r="AP100" s="301"/>
      <c r="AQ100" s="301"/>
      <c r="AT100" s="28">
        <f t="shared" si="167"/>
        <v>0</v>
      </c>
    </row>
    <row r="101" spans="2:46" s="28" customFormat="1" ht="20.100000000000001" customHeight="1" x14ac:dyDescent="0.3">
      <c r="B101" s="18"/>
      <c r="C101" s="62" t="s">
        <v>341</v>
      </c>
      <c r="D101" s="98">
        <v>0.33300000000000002</v>
      </c>
      <c r="E101" s="18">
        <f>-1*0</f>
        <v>0</v>
      </c>
      <c r="F101" s="18">
        <f>1*0</f>
        <v>0</v>
      </c>
      <c r="G101" s="20">
        <v>3.25</v>
      </c>
      <c r="H101" s="20">
        <f t="shared" si="264"/>
        <v>0.33300000000000002</v>
      </c>
      <c r="I101" s="21"/>
      <c r="J101" s="81">
        <v>3</v>
      </c>
      <c r="K101" s="103">
        <f t="shared" si="265"/>
        <v>0</v>
      </c>
      <c r="L101" s="103">
        <f t="shared" si="266"/>
        <v>0</v>
      </c>
      <c r="M101" s="81">
        <v>3</v>
      </c>
      <c r="N101" s="103">
        <f t="shared" si="267"/>
        <v>0</v>
      </c>
      <c r="O101" s="103">
        <f t="shared" si="268"/>
        <v>0</v>
      </c>
      <c r="P101" s="81"/>
      <c r="Q101" s="103">
        <f t="shared" si="269"/>
        <v>0</v>
      </c>
      <c r="R101" s="103">
        <f t="shared" si="270"/>
        <v>0</v>
      </c>
      <c r="S101" s="104">
        <f t="shared" si="220"/>
        <v>0</v>
      </c>
      <c r="T101" s="104">
        <f t="shared" si="220"/>
        <v>0</v>
      </c>
      <c r="U101" s="18"/>
      <c r="V101" s="26"/>
      <c r="W101" s="21">
        <f>+G101+D101</f>
        <v>3.5830000000000002</v>
      </c>
      <c r="X101" s="21">
        <v>0.5</v>
      </c>
      <c r="Y101" s="21">
        <f>+IF(D101=0.667,-E101*F101*H101*W101*X101,0)</f>
        <v>0</v>
      </c>
      <c r="Z101" s="21">
        <f>+IF(D101=0.333,-E101*F101*H101*W101*X101,0)</f>
        <v>0</v>
      </c>
      <c r="AA101" s="21">
        <f>+F101*G101*H101</f>
        <v>0</v>
      </c>
      <c r="AB101" s="21">
        <f t="shared" si="271"/>
        <v>0</v>
      </c>
      <c r="AC101" s="27"/>
      <c r="AD101" s="21"/>
      <c r="AE101" s="21">
        <f t="shared" si="272"/>
        <v>0</v>
      </c>
      <c r="AF101" s="21">
        <f t="shared" si="273"/>
        <v>0</v>
      </c>
      <c r="AG101" s="27"/>
      <c r="AH101" s="396"/>
      <c r="AI101" s="21">
        <f t="shared" si="274"/>
        <v>0</v>
      </c>
      <c r="AK101" s="301">
        <f t="shared" si="262"/>
        <v>0</v>
      </c>
      <c r="AL101" s="301">
        <f t="shared" si="263"/>
        <v>0</v>
      </c>
      <c r="AM101" s="301"/>
      <c r="AN101" s="301">
        <f>+IF(D101=0.333,1.33,0)*0</f>
        <v>0</v>
      </c>
      <c r="AO101" s="299"/>
      <c r="AP101" s="301"/>
      <c r="AQ101" s="301"/>
      <c r="AT101" s="28">
        <f t="shared" si="167"/>
        <v>0</v>
      </c>
    </row>
    <row r="102" spans="2:46" s="28" customFormat="1" ht="20.100000000000001" customHeight="1" x14ac:dyDescent="0.3">
      <c r="B102" s="92"/>
      <c r="C102" s="62" t="s">
        <v>342</v>
      </c>
      <c r="D102" s="98">
        <v>0.33300000000000002</v>
      </c>
      <c r="E102" s="92">
        <f>1*0</f>
        <v>0</v>
      </c>
      <c r="F102" s="92">
        <f>1*0</f>
        <v>0</v>
      </c>
      <c r="G102" s="98">
        <f>(3.585+2.236+2.236+2.236+2.236+2.955+1.39+1.39+1.39+1.39)*3.281</f>
        <v>69.045364000000021</v>
      </c>
      <c r="H102" s="98">
        <f>+D102</f>
        <v>0.33300000000000002</v>
      </c>
      <c r="I102" s="94">
        <v>2</v>
      </c>
      <c r="J102" s="99">
        <v>3</v>
      </c>
      <c r="K102" s="100">
        <f>+IF(D102=0.667,E102*F102*G102*H102*J102,0)</f>
        <v>0</v>
      </c>
      <c r="L102" s="100">
        <f>+IF(D102=0.333,E102*F102*G102*J102,0)</f>
        <v>0</v>
      </c>
      <c r="M102" s="99">
        <v>4</v>
      </c>
      <c r="N102" s="100">
        <f>+IF(D102=0.667,E102*F102*G102*H102*M102,0)</f>
        <v>0</v>
      </c>
      <c r="O102" s="100">
        <f>+IF(D102=0.333,E102*F102*G102*M102,0)</f>
        <v>0</v>
      </c>
      <c r="P102" s="81">
        <f>11.833-I102-M102-J102</f>
        <v>2.8330000000000002</v>
      </c>
      <c r="Q102" s="100">
        <f>+IF(D102=0.667,E102*F102*G102*H102*P102,0)</f>
        <v>0</v>
      </c>
      <c r="R102" s="100">
        <f>+IF(D102=0.333,E102*F102*G102*P102,0)</f>
        <v>0</v>
      </c>
      <c r="S102" s="101">
        <f t="shared" si="220"/>
        <v>0</v>
      </c>
      <c r="T102" s="101">
        <f t="shared" si="220"/>
        <v>0</v>
      </c>
      <c r="U102" s="92"/>
      <c r="V102" s="91"/>
      <c r="W102" s="102"/>
      <c r="X102" s="98"/>
      <c r="Y102" s="102"/>
      <c r="Z102" s="98"/>
      <c r="AA102" s="98"/>
      <c r="AB102" s="98"/>
      <c r="AC102" s="91"/>
      <c r="AD102" s="98"/>
      <c r="AE102" s="98"/>
      <c r="AF102" s="98"/>
      <c r="AG102" s="91"/>
      <c r="AH102" s="304">
        <v>1</v>
      </c>
      <c r="AI102" s="299">
        <f>+AH102*G102*D102*0.17</f>
        <v>3.9086580560400015</v>
      </c>
      <c r="AK102" s="301">
        <f t="shared" si="262"/>
        <v>0</v>
      </c>
      <c r="AL102" s="301">
        <f t="shared" si="263"/>
        <v>0</v>
      </c>
      <c r="AM102" s="301"/>
      <c r="AN102" s="301"/>
      <c r="AO102" s="299"/>
      <c r="AP102" s="301"/>
      <c r="AQ102" s="301"/>
      <c r="AT102" s="28">
        <f t="shared" si="167"/>
        <v>0</v>
      </c>
    </row>
    <row r="103" spans="2:46" s="28" customFormat="1" ht="20.100000000000001" customHeight="1" x14ac:dyDescent="0.3">
      <c r="B103" s="18"/>
      <c r="C103" s="62" t="s">
        <v>337</v>
      </c>
      <c r="D103" s="98">
        <v>0.33300000000000002</v>
      </c>
      <c r="E103" s="18">
        <f>-1*0</f>
        <v>0</v>
      </c>
      <c r="F103" s="18">
        <f>4*0</f>
        <v>0</v>
      </c>
      <c r="G103" s="20">
        <v>2.5</v>
      </c>
      <c r="H103" s="20">
        <f t="shared" ref="H103:H106" si="275">+D103</f>
        <v>0.33300000000000002</v>
      </c>
      <c r="I103" s="21"/>
      <c r="J103" s="81">
        <v>3</v>
      </c>
      <c r="K103" s="103">
        <f t="shared" ref="K103:K106" si="276">+IF(D103=0.667,E103*F103*G103*H103*J103,0)</f>
        <v>0</v>
      </c>
      <c r="L103" s="103">
        <f t="shared" ref="L103:L106" si="277">+IF(D103=0.333,E103*F103*G103*J103,0)</f>
        <v>0</v>
      </c>
      <c r="M103" s="81">
        <v>3</v>
      </c>
      <c r="N103" s="103">
        <f t="shared" ref="N103:N106" si="278">+IF(D103=0.667,E103*F103*G103*H103*M103,0)</f>
        <v>0</v>
      </c>
      <c r="O103" s="103">
        <f t="shared" ref="O103:O106" si="279">+IF(D103=0.333,E103*F103*G103*M103,0)</f>
        <v>0</v>
      </c>
      <c r="P103" s="81"/>
      <c r="Q103" s="103">
        <f t="shared" ref="Q103:Q106" si="280">+IF(D103=0.667,E103*F103*G103*H103*P103,0)</f>
        <v>0</v>
      </c>
      <c r="R103" s="103">
        <f t="shared" ref="R103:R106" si="281">+IF(D103=0.333,E103*F103*G103*P103,0)</f>
        <v>0</v>
      </c>
      <c r="S103" s="104">
        <f t="shared" si="220"/>
        <v>0</v>
      </c>
      <c r="T103" s="104">
        <f t="shared" si="220"/>
        <v>0</v>
      </c>
      <c r="U103" s="18"/>
      <c r="V103" s="26"/>
      <c r="W103" s="21">
        <f>+G103+D103</f>
        <v>2.8330000000000002</v>
      </c>
      <c r="X103" s="21">
        <v>0.5</v>
      </c>
      <c r="Y103" s="21">
        <f>+IF(D103=0.667,-E103*F103*H103*W103*X103,0)</f>
        <v>0</v>
      </c>
      <c r="Z103" s="21">
        <f>+IF(D103=0.333,-E103*F103*H103*W103*X103,0)</f>
        <v>0</v>
      </c>
      <c r="AA103" s="21">
        <f>+F103*G103*H103</f>
        <v>0</v>
      </c>
      <c r="AB103" s="21">
        <f t="shared" ref="AB103:AB106" si="282">2*F103*W103*X103</f>
        <v>0</v>
      </c>
      <c r="AC103" s="27"/>
      <c r="AD103" s="21"/>
      <c r="AE103" s="21">
        <f t="shared" ref="AE103:AE106" si="283">+IF(D103=0.667,AD103*W103*H103*F103,0)</f>
        <v>0</v>
      </c>
      <c r="AF103" s="21">
        <f t="shared" ref="AF103:AF106" si="284">+IF(D103=0.333,AD103*W103*H103*F103,0)</f>
        <v>0</v>
      </c>
      <c r="AG103" s="27"/>
      <c r="AH103" s="396"/>
      <c r="AI103" s="21">
        <f t="shared" ref="AI103:AI106" si="285">+AH103*G103*D103*0.17</f>
        <v>0</v>
      </c>
      <c r="AK103" s="301">
        <f t="shared" si="262"/>
        <v>0</v>
      </c>
      <c r="AL103" s="301">
        <f t="shared" si="263"/>
        <v>0</v>
      </c>
      <c r="AM103" s="301"/>
      <c r="AN103" s="301">
        <f>+IF(D103=0.333,1.33,0)*0</f>
        <v>0</v>
      </c>
      <c r="AO103" s="299"/>
      <c r="AP103" s="301"/>
      <c r="AQ103" s="301"/>
      <c r="AT103" s="28">
        <f t="shared" si="167"/>
        <v>0</v>
      </c>
    </row>
    <row r="104" spans="2:46" s="28" customFormat="1" ht="20.100000000000001" customHeight="1" x14ac:dyDescent="0.3">
      <c r="B104" s="18"/>
      <c r="C104" s="62" t="s">
        <v>341</v>
      </c>
      <c r="D104" s="98">
        <v>0.33300000000000002</v>
      </c>
      <c r="E104" s="18">
        <f>-1*0</f>
        <v>0</v>
      </c>
      <c r="F104" s="18">
        <f>1*0</f>
        <v>0</v>
      </c>
      <c r="G104" s="20">
        <v>3.25</v>
      </c>
      <c r="H104" s="20">
        <f t="shared" si="275"/>
        <v>0.33300000000000002</v>
      </c>
      <c r="I104" s="21"/>
      <c r="J104" s="81">
        <v>3</v>
      </c>
      <c r="K104" s="103">
        <f t="shared" si="276"/>
        <v>0</v>
      </c>
      <c r="L104" s="103">
        <f t="shared" si="277"/>
        <v>0</v>
      </c>
      <c r="M104" s="81">
        <v>3</v>
      </c>
      <c r="N104" s="103">
        <f t="shared" si="278"/>
        <v>0</v>
      </c>
      <c r="O104" s="103">
        <f t="shared" si="279"/>
        <v>0</v>
      </c>
      <c r="P104" s="81"/>
      <c r="Q104" s="103">
        <f t="shared" si="280"/>
        <v>0</v>
      </c>
      <c r="R104" s="103">
        <f t="shared" si="281"/>
        <v>0</v>
      </c>
      <c r="S104" s="104">
        <f t="shared" si="220"/>
        <v>0</v>
      </c>
      <c r="T104" s="104">
        <f t="shared" si="220"/>
        <v>0</v>
      </c>
      <c r="U104" s="18"/>
      <c r="V104" s="26"/>
      <c r="W104" s="21">
        <f>+G104+D104</f>
        <v>3.5830000000000002</v>
      </c>
      <c r="X104" s="21">
        <v>0.5</v>
      </c>
      <c r="Y104" s="21">
        <f>+IF(D104=0.667,-E104*F104*H104*W104*X104,0)</f>
        <v>0</v>
      </c>
      <c r="Z104" s="21">
        <f>+IF(D104=0.333,-E104*F104*H104*W104*X104,0)</f>
        <v>0</v>
      </c>
      <c r="AA104" s="21">
        <f>+F104*G104*H104</f>
        <v>0</v>
      </c>
      <c r="AB104" s="21">
        <f t="shared" si="282"/>
        <v>0</v>
      </c>
      <c r="AC104" s="27"/>
      <c r="AD104" s="21"/>
      <c r="AE104" s="21">
        <f t="shared" si="283"/>
        <v>0</v>
      </c>
      <c r="AF104" s="21">
        <f t="shared" si="284"/>
        <v>0</v>
      </c>
      <c r="AG104" s="27"/>
      <c r="AH104" s="396"/>
      <c r="AI104" s="21">
        <f t="shared" si="285"/>
        <v>0</v>
      </c>
      <c r="AK104" s="301">
        <f t="shared" si="262"/>
        <v>0</v>
      </c>
      <c r="AL104" s="301">
        <f t="shared" si="263"/>
        <v>0</v>
      </c>
      <c r="AM104" s="301"/>
      <c r="AN104" s="301">
        <f>+IF(D104=0.333,1.33,0)*0</f>
        <v>0</v>
      </c>
      <c r="AO104" s="299"/>
      <c r="AP104" s="301"/>
      <c r="AQ104" s="301"/>
      <c r="AT104" s="28">
        <f t="shared" si="167"/>
        <v>0</v>
      </c>
    </row>
    <row r="105" spans="2:46" s="28" customFormat="1" ht="20.100000000000001" customHeight="1" x14ac:dyDescent="0.3">
      <c r="B105" s="18"/>
      <c r="C105" s="62" t="s">
        <v>343</v>
      </c>
      <c r="D105" s="298">
        <v>0.33300000000000002</v>
      </c>
      <c r="E105" s="92">
        <f>1*0</f>
        <v>0</v>
      </c>
      <c r="F105" s="92">
        <f>1*0</f>
        <v>0</v>
      </c>
      <c r="G105" s="20">
        <f>(1.05+1.05+222)*3.281</f>
        <v>735.27210000000002</v>
      </c>
      <c r="H105" s="20">
        <f t="shared" si="275"/>
        <v>0.33300000000000002</v>
      </c>
      <c r="I105" s="21">
        <f>18/12</f>
        <v>1.5</v>
      </c>
      <c r="J105" s="81">
        <v>3</v>
      </c>
      <c r="K105" s="103">
        <f t="shared" si="276"/>
        <v>0</v>
      </c>
      <c r="L105" s="103">
        <f t="shared" si="277"/>
        <v>0</v>
      </c>
      <c r="M105" s="81"/>
      <c r="N105" s="103">
        <f t="shared" si="278"/>
        <v>0</v>
      </c>
      <c r="O105" s="103">
        <f t="shared" si="279"/>
        <v>0</v>
      </c>
      <c r="P105" s="81"/>
      <c r="Q105" s="103">
        <f t="shared" si="280"/>
        <v>0</v>
      </c>
      <c r="R105" s="103">
        <f t="shared" si="281"/>
        <v>0</v>
      </c>
      <c r="S105" s="104">
        <f t="shared" ref="S105:T106" si="286">+Q105+N105+K105</f>
        <v>0</v>
      </c>
      <c r="T105" s="104">
        <f t="shared" si="286"/>
        <v>0</v>
      </c>
      <c r="U105" s="18"/>
      <c r="V105" s="26"/>
      <c r="W105" s="21"/>
      <c r="X105" s="21"/>
      <c r="Y105" s="21"/>
      <c r="Z105" s="21"/>
      <c r="AA105" s="21"/>
      <c r="AB105" s="21">
        <f t="shared" si="282"/>
        <v>0</v>
      </c>
      <c r="AC105" s="27"/>
      <c r="AD105" s="21"/>
      <c r="AE105" s="21">
        <f t="shared" si="283"/>
        <v>0</v>
      </c>
      <c r="AF105" s="21">
        <f t="shared" si="284"/>
        <v>0</v>
      </c>
      <c r="AG105" s="27"/>
      <c r="AH105" s="396">
        <v>1</v>
      </c>
      <c r="AI105" s="21">
        <f t="shared" si="285"/>
        <v>41.62375358100001</v>
      </c>
      <c r="AK105" s="301">
        <f t="shared" si="262"/>
        <v>0</v>
      </c>
      <c r="AL105" s="301"/>
      <c r="AM105" s="301"/>
      <c r="AN105" s="301"/>
      <c r="AO105" s="299">
        <f>+E105*F105*G105</f>
        <v>0</v>
      </c>
      <c r="AP105" s="301"/>
      <c r="AQ105" s="301"/>
      <c r="AT105" s="28">
        <f t="shared" si="167"/>
        <v>0</v>
      </c>
    </row>
    <row r="106" spans="2:46" s="28" customFormat="1" ht="20.100000000000001" customHeight="1" x14ac:dyDescent="0.3">
      <c r="B106" s="18"/>
      <c r="C106" s="62" t="s">
        <v>344</v>
      </c>
      <c r="D106" s="298">
        <v>0.33300000000000002</v>
      </c>
      <c r="E106" s="92">
        <f>1*0</f>
        <v>0</v>
      </c>
      <c r="F106" s="92">
        <f>1*0</f>
        <v>0</v>
      </c>
      <c r="G106" s="20">
        <f>(1.05+1.05+1.05+1.05+1.2)*3.281</f>
        <v>17.717400000000001</v>
      </c>
      <c r="H106" s="20">
        <f t="shared" si="275"/>
        <v>0.33300000000000002</v>
      </c>
      <c r="I106" s="21">
        <f>18/12</f>
        <v>1.5</v>
      </c>
      <c r="J106" s="81">
        <v>3</v>
      </c>
      <c r="K106" s="103">
        <f t="shared" si="276"/>
        <v>0</v>
      </c>
      <c r="L106" s="103">
        <f t="shared" si="277"/>
        <v>0</v>
      </c>
      <c r="M106" s="81"/>
      <c r="N106" s="103">
        <f t="shared" si="278"/>
        <v>0</v>
      </c>
      <c r="O106" s="103">
        <f t="shared" si="279"/>
        <v>0</v>
      </c>
      <c r="P106" s="81"/>
      <c r="Q106" s="103">
        <f t="shared" si="280"/>
        <v>0</v>
      </c>
      <c r="R106" s="103">
        <f t="shared" si="281"/>
        <v>0</v>
      </c>
      <c r="S106" s="104">
        <f t="shared" si="286"/>
        <v>0</v>
      </c>
      <c r="T106" s="104">
        <f t="shared" si="286"/>
        <v>0</v>
      </c>
      <c r="U106" s="18"/>
      <c r="V106" s="26"/>
      <c r="W106" s="21"/>
      <c r="X106" s="21"/>
      <c r="Y106" s="21"/>
      <c r="Z106" s="21"/>
      <c r="AA106" s="21"/>
      <c r="AB106" s="21">
        <f t="shared" si="282"/>
        <v>0</v>
      </c>
      <c r="AC106" s="27"/>
      <c r="AD106" s="21"/>
      <c r="AE106" s="21">
        <f t="shared" si="283"/>
        <v>0</v>
      </c>
      <c r="AF106" s="21">
        <f t="shared" si="284"/>
        <v>0</v>
      </c>
      <c r="AG106" s="27"/>
      <c r="AH106" s="396">
        <v>1</v>
      </c>
      <c r="AI106" s="21">
        <f t="shared" si="285"/>
        <v>1.0029820140000003</v>
      </c>
      <c r="AK106" s="301">
        <f t="shared" si="262"/>
        <v>0</v>
      </c>
      <c r="AL106" s="301"/>
      <c r="AM106" s="301"/>
      <c r="AN106" s="301"/>
      <c r="AO106" s="299">
        <f>+E106*F106*G106</f>
        <v>0</v>
      </c>
      <c r="AP106" s="301"/>
      <c r="AQ106" s="301"/>
      <c r="AT106" s="28">
        <f t="shared" si="167"/>
        <v>0</v>
      </c>
    </row>
    <row r="107" spans="2:46" s="28" customFormat="1" ht="20.100000000000001" customHeight="1" x14ac:dyDescent="0.3">
      <c r="B107" s="369"/>
      <c r="C107" s="370"/>
      <c r="D107" s="371"/>
      <c r="E107" s="369"/>
      <c r="F107" s="369"/>
      <c r="G107" s="371"/>
      <c r="H107" s="371"/>
      <c r="I107" s="374"/>
      <c r="J107" s="397"/>
      <c r="K107" s="398"/>
      <c r="L107" s="398"/>
      <c r="M107" s="397"/>
      <c r="N107" s="398"/>
      <c r="O107" s="398"/>
      <c r="P107" s="397"/>
      <c r="Q107" s="398"/>
      <c r="R107" s="398"/>
      <c r="S107" s="399"/>
      <c r="T107" s="399"/>
      <c r="U107" s="369"/>
      <c r="V107" s="373"/>
      <c r="W107" s="374"/>
      <c r="X107" s="374"/>
      <c r="Y107" s="374"/>
      <c r="Z107" s="374"/>
      <c r="AA107" s="374"/>
      <c r="AB107" s="374"/>
      <c r="AC107" s="400"/>
      <c r="AD107" s="374"/>
      <c r="AE107" s="374"/>
      <c r="AF107" s="374"/>
      <c r="AG107" s="400"/>
      <c r="AH107" s="401"/>
      <c r="AI107" s="374"/>
      <c r="AK107" s="378"/>
      <c r="AL107" s="378"/>
      <c r="AM107" s="378"/>
      <c r="AN107" s="378"/>
      <c r="AO107" s="374"/>
      <c r="AP107" s="378"/>
      <c r="AQ107" s="378"/>
      <c r="AT107" s="28">
        <f t="shared" si="167"/>
        <v>0</v>
      </c>
    </row>
    <row r="108" spans="2:46" s="28" customFormat="1" ht="31.5" customHeight="1" x14ac:dyDescent="0.3">
      <c r="B108" s="92"/>
      <c r="C108" s="97" t="s">
        <v>349</v>
      </c>
      <c r="D108" s="92"/>
      <c r="E108" s="92"/>
      <c r="F108" s="92"/>
      <c r="G108" s="92"/>
      <c r="H108" s="92"/>
      <c r="I108" s="94"/>
      <c r="J108" s="92"/>
      <c r="K108" s="92"/>
      <c r="L108" s="92"/>
      <c r="M108" s="92"/>
      <c r="N108" s="92"/>
      <c r="O108" s="92"/>
      <c r="P108" s="92"/>
      <c r="Q108" s="92"/>
      <c r="R108" s="92"/>
      <c r="S108" s="92"/>
      <c r="T108" s="92"/>
      <c r="U108" s="92"/>
      <c r="V108" s="95"/>
      <c r="W108" s="92"/>
      <c r="X108" s="92"/>
      <c r="Y108" s="92"/>
      <c r="Z108" s="92"/>
      <c r="AA108" s="92"/>
      <c r="AB108" s="92"/>
      <c r="AC108" s="95"/>
      <c r="AD108" s="92"/>
      <c r="AE108" s="92"/>
      <c r="AF108" s="92"/>
      <c r="AG108" s="95"/>
      <c r="AH108" s="304"/>
      <c r="AI108" s="301"/>
      <c r="AK108" s="301"/>
      <c r="AL108" s="301"/>
      <c r="AM108" s="301"/>
      <c r="AN108" s="301"/>
      <c r="AO108" s="299"/>
      <c r="AP108" s="301"/>
      <c r="AQ108" s="301"/>
      <c r="AT108" s="28">
        <f t="shared" si="167"/>
        <v>0</v>
      </c>
    </row>
    <row r="109" spans="2:46" s="28" customFormat="1" ht="20.100000000000001" customHeight="1" x14ac:dyDescent="0.3">
      <c r="B109" s="92"/>
      <c r="C109" s="62" t="s">
        <v>33</v>
      </c>
      <c r="D109" s="98">
        <v>0.66700000000000004</v>
      </c>
      <c r="E109" s="92">
        <v>1</v>
      </c>
      <c r="F109" s="92">
        <v>1</v>
      </c>
      <c r="G109" s="555">
        <f>(1.22)*3.281</f>
        <v>4.0028199999999998</v>
      </c>
      <c r="H109" s="98">
        <f>+D109</f>
        <v>0.66700000000000004</v>
      </c>
      <c r="I109" s="94">
        <v>2</v>
      </c>
      <c r="J109" s="99">
        <v>3</v>
      </c>
      <c r="K109" s="100">
        <f>+IF(D109=0.667,E109*F109*G109*H109*J109,0)</f>
        <v>8.0096428199999998</v>
      </c>
      <c r="L109" s="100">
        <f>+IF(D109=0.333,E109*F109*G109*J109,0)</f>
        <v>0</v>
      </c>
      <c r="M109" s="99">
        <v>4</v>
      </c>
      <c r="N109" s="100">
        <f>+IF(D109=0.667,E109*F109*G109*H109*M109,0)</f>
        <v>10.67952376</v>
      </c>
      <c r="O109" s="100">
        <f>+IF(D109=0.333,E109*F109*G109*M109,0)</f>
        <v>0</v>
      </c>
      <c r="P109" s="81">
        <f>11.833-I109-M109-J109</f>
        <v>2.8330000000000002</v>
      </c>
      <c r="Q109" s="100">
        <f>+IF(D109=0.667,E109*F109*G109*H109*P109,0)</f>
        <v>7.5637727030200006</v>
      </c>
      <c r="R109" s="100">
        <f>+IF(D109=0.333,E109*F109*G109*P109,0)</f>
        <v>0</v>
      </c>
      <c r="S109" s="101">
        <f t="shared" ref="S109:T115" si="287">+Q109+N109+K109</f>
        <v>26.252939283020002</v>
      </c>
      <c r="T109" s="101">
        <f t="shared" si="287"/>
        <v>0</v>
      </c>
      <c r="U109" s="92"/>
      <c r="V109" s="91"/>
      <c r="W109" s="102"/>
      <c r="X109" s="98"/>
      <c r="Y109" s="102"/>
      <c r="Z109" s="98"/>
      <c r="AA109" s="98"/>
      <c r="AB109" s="98"/>
      <c r="AC109" s="91"/>
      <c r="AD109" s="98"/>
      <c r="AE109" s="98"/>
      <c r="AF109" s="98"/>
      <c r="AG109" s="91"/>
      <c r="AH109" s="304">
        <v>1</v>
      </c>
      <c r="AI109" s="299">
        <f>+AH109*G109*D109*0.17</f>
        <v>0.45387975980000006</v>
      </c>
      <c r="AK109" s="301">
        <f t="shared" ref="AK109:AK114" si="288">+IF(D109=0.667,E109*F109*G109,0)</f>
        <v>4.0028199999999998</v>
      </c>
      <c r="AL109" s="301">
        <f t="shared" ref="AL109:AL114" si="289">+IF(D109=0.333,E109*F109*G109,0)</f>
        <v>0</v>
      </c>
      <c r="AM109" s="301"/>
      <c r="AN109" s="301"/>
      <c r="AO109" s="299"/>
      <c r="AP109" s="301"/>
      <c r="AQ109" s="301"/>
      <c r="AT109" s="28">
        <f t="shared" si="167"/>
        <v>4.0028199999999998</v>
      </c>
    </row>
    <row r="110" spans="2:46" s="28" customFormat="1" ht="20.100000000000001" customHeight="1" x14ac:dyDescent="0.3">
      <c r="B110" s="18"/>
      <c r="C110" s="62" t="s">
        <v>35</v>
      </c>
      <c r="D110" s="98">
        <v>0.66700000000000004</v>
      </c>
      <c r="E110" s="18">
        <v>-1</v>
      </c>
      <c r="F110" s="18">
        <v>1</v>
      </c>
      <c r="G110" s="556">
        <v>3.25</v>
      </c>
      <c r="H110" s="20">
        <f t="shared" ref="H110" si="290">+D110</f>
        <v>0.66700000000000004</v>
      </c>
      <c r="I110" s="21"/>
      <c r="J110" s="81">
        <v>3</v>
      </c>
      <c r="K110" s="103">
        <f t="shared" ref="K110" si="291">+IF(D110=0.667,E110*F110*G110*H110*J110,0)</f>
        <v>-6.5032500000000013</v>
      </c>
      <c r="L110" s="103">
        <f t="shared" ref="L110" si="292">+IF(D110=0.333,E110*F110*G110*J110,0)</f>
        <v>0</v>
      </c>
      <c r="M110" s="81">
        <v>4</v>
      </c>
      <c r="N110" s="103">
        <f t="shared" ref="N110" si="293">+IF(D110=0.667,E110*F110*G110*H110*M110,0)</f>
        <v>-8.6710000000000012</v>
      </c>
      <c r="O110" s="103">
        <f t="shared" ref="O110" si="294">+IF(D110=0.333,E110*F110*G110*M110,0)</f>
        <v>0</v>
      </c>
      <c r="P110" s="81"/>
      <c r="Q110" s="103">
        <f t="shared" ref="Q110" si="295">+IF(D110=0.667,E110*F110*G110*H110*P110,0)</f>
        <v>0</v>
      </c>
      <c r="R110" s="103">
        <f t="shared" ref="R110" si="296">+IF(D110=0.333,E110*F110*G110*P110,0)</f>
        <v>0</v>
      </c>
      <c r="S110" s="104">
        <f t="shared" si="287"/>
        <v>-15.174250000000002</v>
      </c>
      <c r="T110" s="104">
        <f t="shared" si="287"/>
        <v>0</v>
      </c>
      <c r="U110" s="18"/>
      <c r="V110" s="26"/>
      <c r="W110" s="21">
        <f>+G110+D110</f>
        <v>3.9169999999999998</v>
      </c>
      <c r="X110" s="21">
        <v>0.5</v>
      </c>
      <c r="Y110" s="21">
        <f>+IF(D110=0.667,-E110*F110*H110*W110*X110,0)</f>
        <v>1.3063195000000001</v>
      </c>
      <c r="Z110" s="21">
        <f>+IF(D110=0.333,-E110*F110*H110*W110*X110,0)</f>
        <v>0</v>
      </c>
      <c r="AA110" s="21">
        <f>+F110*G110*H110</f>
        <v>2.1677500000000003</v>
      </c>
      <c r="AB110" s="21">
        <f t="shared" ref="AB110" si="297">2*F110*W110*X110</f>
        <v>3.9169999999999998</v>
      </c>
      <c r="AC110" s="27"/>
      <c r="AD110" s="21"/>
      <c r="AE110" s="21">
        <f t="shared" ref="AE110" si="298">+IF(D110=0.667,AD110*W110*H110*F110,0)</f>
        <v>0</v>
      </c>
      <c r="AF110" s="21">
        <f t="shared" ref="AF110" si="299">+IF(D110=0.333,AD110*W110*H110*F110,0)</f>
        <v>0</v>
      </c>
      <c r="AG110" s="27"/>
      <c r="AH110" s="396"/>
      <c r="AI110" s="21">
        <f t="shared" ref="AI110" si="300">+AH110*G110*D110*0.17</f>
        <v>0</v>
      </c>
      <c r="AK110" s="301">
        <f t="shared" si="288"/>
        <v>-3.25</v>
      </c>
      <c r="AL110" s="301">
        <f t="shared" si="289"/>
        <v>0</v>
      </c>
      <c r="AM110" s="301">
        <f>+IF(D110=0.667,1.33,0)</f>
        <v>1.33</v>
      </c>
      <c r="AN110" s="301">
        <f>+IF(D110=0.333,1.33,0)</f>
        <v>0</v>
      </c>
      <c r="AO110" s="299"/>
      <c r="AP110" s="301"/>
      <c r="AQ110" s="301"/>
      <c r="AT110" s="28">
        <f t="shared" si="167"/>
        <v>-3.25</v>
      </c>
    </row>
    <row r="111" spans="2:46" s="28" customFormat="1" ht="20.100000000000001" customHeight="1" x14ac:dyDescent="0.3">
      <c r="B111" s="92"/>
      <c r="C111" s="62" t="s">
        <v>43</v>
      </c>
      <c r="D111" s="98">
        <v>0.66700000000000004</v>
      </c>
      <c r="E111" s="92">
        <v>1</v>
      </c>
      <c r="F111" s="92">
        <v>1</v>
      </c>
      <c r="G111" s="555">
        <f>(4.53)*3.281</f>
        <v>14.862930000000002</v>
      </c>
      <c r="H111" s="98">
        <f>+D111</f>
        <v>0.66700000000000004</v>
      </c>
      <c r="I111" s="94">
        <v>2</v>
      </c>
      <c r="J111" s="99">
        <v>3</v>
      </c>
      <c r="K111" s="100">
        <f>+IF(D111=0.667,E111*F111*G111*H111*J111,0)</f>
        <v>29.740722930000004</v>
      </c>
      <c r="L111" s="100">
        <f>+IF(D111=0.333,E111*F111*G111*J111,0)</f>
        <v>0</v>
      </c>
      <c r="M111" s="99">
        <v>4</v>
      </c>
      <c r="N111" s="100">
        <f>+IF(D111=0.667,E111*F111*G111*H111*M111,0)</f>
        <v>39.654297240000005</v>
      </c>
      <c r="O111" s="100">
        <f>+IF(D111=0.333,E111*F111*G111*M111,0)</f>
        <v>0</v>
      </c>
      <c r="P111" s="81">
        <f t="shared" ref="P111:P112" si="301">11.833-I111-M111-J111</f>
        <v>2.8330000000000002</v>
      </c>
      <c r="Q111" s="100">
        <f>+IF(D111=0.667,E111*F111*G111*H111*P111,0)</f>
        <v>28.085156020230006</v>
      </c>
      <c r="R111" s="100">
        <f>+IF(D111=0.333,E111*F111*G111*P111,0)</f>
        <v>0</v>
      </c>
      <c r="S111" s="101">
        <f t="shared" si="287"/>
        <v>97.480176190230011</v>
      </c>
      <c r="T111" s="101">
        <f t="shared" si="287"/>
        <v>0</v>
      </c>
      <c r="U111" s="92"/>
      <c r="V111" s="91"/>
      <c r="W111" s="102"/>
      <c r="X111" s="98"/>
      <c r="Y111" s="102"/>
      <c r="Z111" s="98"/>
      <c r="AA111" s="98"/>
      <c r="AB111" s="98"/>
      <c r="AC111" s="91"/>
      <c r="AD111" s="98"/>
      <c r="AE111" s="98"/>
      <c r="AF111" s="98"/>
      <c r="AG111" s="91"/>
      <c r="AH111" s="304">
        <v>1</v>
      </c>
      <c r="AI111" s="299">
        <f>+AH111*G111*D111*0.17</f>
        <v>1.6853076327000003</v>
      </c>
      <c r="AK111" s="301">
        <f t="shared" si="288"/>
        <v>14.862930000000002</v>
      </c>
      <c r="AL111" s="301">
        <f t="shared" si="289"/>
        <v>0</v>
      </c>
      <c r="AM111" s="301"/>
      <c r="AN111" s="301"/>
      <c r="AO111" s="299"/>
      <c r="AP111" s="301"/>
      <c r="AQ111" s="301"/>
      <c r="AT111" s="28">
        <f t="shared" si="167"/>
        <v>14.862930000000002</v>
      </c>
    </row>
    <row r="112" spans="2:46" s="28" customFormat="1" ht="20.100000000000001" customHeight="1" x14ac:dyDescent="0.3">
      <c r="B112" s="92"/>
      <c r="C112" s="62" t="s">
        <v>31</v>
      </c>
      <c r="D112" s="98">
        <v>0.66700000000000004</v>
      </c>
      <c r="E112" s="92">
        <v>1</v>
      </c>
      <c r="F112" s="92">
        <v>1</v>
      </c>
      <c r="G112" s="555">
        <f>(6.82)*3.281</f>
        <v>22.376420000000003</v>
      </c>
      <c r="H112" s="98">
        <f>+D112</f>
        <v>0.66700000000000004</v>
      </c>
      <c r="I112" s="94">
        <v>2</v>
      </c>
      <c r="J112" s="99">
        <v>3</v>
      </c>
      <c r="K112" s="100">
        <f>+IF(D112=0.667,E112*F112*G112*H112*J112,0)</f>
        <v>44.775216420000007</v>
      </c>
      <c r="L112" s="100">
        <f>+IF(D112=0.333,E112*F112*G112*J112,0)</f>
        <v>0</v>
      </c>
      <c r="M112" s="99">
        <v>4</v>
      </c>
      <c r="N112" s="100">
        <f>+IF(D112=0.667,E112*F112*G112*H112*M112,0)</f>
        <v>59.700288560000011</v>
      </c>
      <c r="O112" s="100">
        <f>+IF(D112=0.333,E112*F112*G112*M112,0)</f>
        <v>0</v>
      </c>
      <c r="P112" s="81">
        <f t="shared" si="301"/>
        <v>2.8330000000000002</v>
      </c>
      <c r="Q112" s="100">
        <f>+IF(D112=0.667,E112*F112*G112*H112*P112,0)</f>
        <v>42.282729372620011</v>
      </c>
      <c r="R112" s="100">
        <f>+IF(D112=0.333,E112*F112*G112*P112,0)</f>
        <v>0</v>
      </c>
      <c r="S112" s="101">
        <f t="shared" si="287"/>
        <v>146.75823435262004</v>
      </c>
      <c r="T112" s="101">
        <f t="shared" si="287"/>
        <v>0</v>
      </c>
      <c r="U112" s="92"/>
      <c r="V112" s="91"/>
      <c r="W112" s="102"/>
      <c r="X112" s="98"/>
      <c r="Y112" s="102"/>
      <c r="Z112" s="98"/>
      <c r="AA112" s="98"/>
      <c r="AB112" s="98"/>
      <c r="AC112" s="91"/>
      <c r="AD112" s="98"/>
      <c r="AE112" s="98"/>
      <c r="AF112" s="98"/>
      <c r="AG112" s="91"/>
      <c r="AH112" s="304">
        <v>1</v>
      </c>
      <c r="AI112" s="299">
        <f>+AH112*G112*D112*0.17</f>
        <v>2.5372622638000006</v>
      </c>
      <c r="AK112" s="301">
        <f t="shared" si="288"/>
        <v>22.376420000000003</v>
      </c>
      <c r="AL112" s="301">
        <f t="shared" si="289"/>
        <v>0</v>
      </c>
      <c r="AM112" s="301"/>
      <c r="AN112" s="301"/>
      <c r="AO112" s="299"/>
      <c r="AP112" s="301"/>
      <c r="AQ112" s="301"/>
      <c r="AT112" s="28">
        <f t="shared" si="167"/>
        <v>22.376420000000003</v>
      </c>
    </row>
    <row r="113" spans="2:46" s="28" customFormat="1" ht="20.100000000000001" customHeight="1" x14ac:dyDescent="0.3">
      <c r="B113" s="92"/>
      <c r="C113" s="62" t="s">
        <v>32</v>
      </c>
      <c r="D113" s="98">
        <v>0.66700000000000004</v>
      </c>
      <c r="E113" s="92">
        <v>1</v>
      </c>
      <c r="F113" s="92">
        <v>1</v>
      </c>
      <c r="G113" s="555">
        <f>(4.2-1)*3.281</f>
        <v>10.499200000000002</v>
      </c>
      <c r="H113" s="98">
        <f>+D113</f>
        <v>0.66700000000000004</v>
      </c>
      <c r="I113" s="94"/>
      <c r="J113" s="99">
        <v>1</v>
      </c>
      <c r="K113" s="100">
        <f>+IF(D113=0.667,E113*F113*G113*H113*J113,0)</f>
        <v>7.0029664000000018</v>
      </c>
      <c r="L113" s="100">
        <f>+IF(D113=0.333,E113*F113*G113*J113,0)</f>
        <v>0</v>
      </c>
      <c r="M113" s="99">
        <v>0</v>
      </c>
      <c r="N113" s="100">
        <f>+IF(D113=0.667,E113*F113*G113*H113*M113,0)</f>
        <v>0</v>
      </c>
      <c r="O113" s="100">
        <f>+IF(D113=0.333,E113*F113*G113*M113,0)</f>
        <v>0</v>
      </c>
      <c r="P113" s="81">
        <v>0</v>
      </c>
      <c r="Q113" s="100">
        <f>+IF(D113=0.667,E113*F113*G113*H113*P113,0)</f>
        <v>0</v>
      </c>
      <c r="R113" s="100">
        <f>+IF(D113=0.333,E113*F113*G113*P113,0)</f>
        <v>0</v>
      </c>
      <c r="S113" s="101">
        <f t="shared" si="287"/>
        <v>7.0029664000000018</v>
      </c>
      <c r="T113" s="101">
        <f t="shared" si="287"/>
        <v>0</v>
      </c>
      <c r="U113" s="92"/>
      <c r="V113" s="91"/>
      <c r="W113" s="102"/>
      <c r="X113" s="98"/>
      <c r="Y113" s="102"/>
      <c r="Z113" s="98"/>
      <c r="AA113" s="98"/>
      <c r="AB113" s="98"/>
      <c r="AC113" s="91"/>
      <c r="AD113" s="98"/>
      <c r="AE113" s="98"/>
      <c r="AF113" s="98"/>
      <c r="AG113" s="91"/>
      <c r="AH113" s="304">
        <v>1</v>
      </c>
      <c r="AI113" s="299">
        <f>+AH113*G113*D113*0.17</f>
        <v>1.1905042880000003</v>
      </c>
      <c r="AK113" s="301">
        <f t="shared" si="288"/>
        <v>10.499200000000002</v>
      </c>
      <c r="AL113" s="301">
        <f t="shared" si="289"/>
        <v>0</v>
      </c>
      <c r="AM113" s="301"/>
      <c r="AN113" s="301"/>
      <c r="AO113" s="299"/>
      <c r="AP113" s="301"/>
      <c r="AQ113" s="301"/>
      <c r="AT113" s="28">
        <f t="shared" si="167"/>
        <v>10.499200000000002</v>
      </c>
    </row>
    <row r="114" spans="2:46" s="28" customFormat="1" ht="20.100000000000001" customHeight="1" x14ac:dyDescent="0.3">
      <c r="B114" s="18"/>
      <c r="C114" s="62" t="s">
        <v>35</v>
      </c>
      <c r="D114" s="98">
        <v>0.66700000000000004</v>
      </c>
      <c r="E114" s="18">
        <v>-1</v>
      </c>
      <c r="F114" s="18">
        <v>1</v>
      </c>
      <c r="G114" s="556">
        <v>3.25</v>
      </c>
      <c r="H114" s="20">
        <f t="shared" ref="H114" si="302">+D114</f>
        <v>0.66700000000000004</v>
      </c>
      <c r="I114" s="21"/>
      <c r="J114" s="81">
        <v>3</v>
      </c>
      <c r="K114" s="103">
        <f t="shared" ref="K114" si="303">+IF(D114=0.667,E114*F114*G114*H114*J114,0)</f>
        <v>-6.5032500000000013</v>
      </c>
      <c r="L114" s="103">
        <f t="shared" ref="L114" si="304">+IF(D114=0.333,E114*F114*G114*J114,0)</f>
        <v>0</v>
      </c>
      <c r="M114" s="81">
        <v>4</v>
      </c>
      <c r="N114" s="103">
        <f t="shared" ref="N114" si="305">+IF(D114=0.667,E114*F114*G114*H114*M114,0)</f>
        <v>-8.6710000000000012</v>
      </c>
      <c r="O114" s="103">
        <f t="shared" ref="O114" si="306">+IF(D114=0.333,E114*F114*G114*M114,0)</f>
        <v>0</v>
      </c>
      <c r="P114" s="81"/>
      <c r="Q114" s="103">
        <f t="shared" ref="Q114" si="307">+IF(D114=0.667,E114*F114*G114*H114*P114,0)</f>
        <v>0</v>
      </c>
      <c r="R114" s="103">
        <f t="shared" ref="R114" si="308">+IF(D114=0.333,E114*F114*G114*P114,0)</f>
        <v>0</v>
      </c>
      <c r="S114" s="104">
        <f t="shared" si="287"/>
        <v>-15.174250000000002</v>
      </c>
      <c r="T114" s="104">
        <f t="shared" si="287"/>
        <v>0</v>
      </c>
      <c r="U114" s="18"/>
      <c r="V114" s="26"/>
      <c r="W114" s="21">
        <f>+G114+D114</f>
        <v>3.9169999999999998</v>
      </c>
      <c r="X114" s="21">
        <v>0.5</v>
      </c>
      <c r="Y114" s="21">
        <f>+IF(D114=0.667,-E114*F114*H114*W114*X114,0)</f>
        <v>1.3063195000000001</v>
      </c>
      <c r="Z114" s="21">
        <f>+IF(D114=0.333,-E114*F114*H114*W114*X114,0)</f>
        <v>0</v>
      </c>
      <c r="AA114" s="21">
        <f>+F114*G114*H114</f>
        <v>2.1677500000000003</v>
      </c>
      <c r="AB114" s="21">
        <f t="shared" ref="AB114" si="309">2*F114*W114*X114</f>
        <v>3.9169999999999998</v>
      </c>
      <c r="AC114" s="27"/>
      <c r="AD114" s="21"/>
      <c r="AE114" s="21">
        <f t="shared" ref="AE114" si="310">+IF(D114=0.667,AD114*W114*H114*F114,0)</f>
        <v>0</v>
      </c>
      <c r="AF114" s="21">
        <f t="shared" ref="AF114" si="311">+IF(D114=0.333,AD114*W114*H114*F114,0)</f>
        <v>0</v>
      </c>
      <c r="AG114" s="27"/>
      <c r="AH114" s="396"/>
      <c r="AI114" s="21">
        <f t="shared" ref="AI114" si="312">+AH114*G114*D114*0.17</f>
        <v>0</v>
      </c>
      <c r="AK114" s="301">
        <f t="shared" si="288"/>
        <v>-3.25</v>
      </c>
      <c r="AL114" s="301">
        <f t="shared" si="289"/>
        <v>0</v>
      </c>
      <c r="AM114" s="301">
        <f>+IF(D114=0.667,1.33,0)</f>
        <v>1.33</v>
      </c>
      <c r="AN114" s="301">
        <f>+IF(D114=0.333,1.33,0)</f>
        <v>0</v>
      </c>
      <c r="AO114" s="299"/>
      <c r="AP114" s="301"/>
      <c r="AQ114" s="301"/>
      <c r="AT114" s="28">
        <f t="shared" si="167"/>
        <v>-3.25</v>
      </c>
    </row>
    <row r="115" spans="2:46" s="28" customFormat="1" ht="20.100000000000001" customHeight="1" x14ac:dyDescent="0.3">
      <c r="B115" s="677"/>
      <c r="C115" s="62" t="s">
        <v>38</v>
      </c>
      <c r="D115" s="98">
        <v>0.66700000000000004</v>
      </c>
      <c r="E115" s="92">
        <v>1</v>
      </c>
      <c r="F115" s="92">
        <v>1</v>
      </c>
      <c r="G115" s="555">
        <f>(4.522+5.343)*3.281</f>
        <v>32.367065000000004</v>
      </c>
      <c r="H115" s="98">
        <f>+D115</f>
        <v>0.66700000000000004</v>
      </c>
      <c r="I115" s="94">
        <v>2</v>
      </c>
      <c r="J115" s="99">
        <v>3</v>
      </c>
      <c r="K115" s="100">
        <f>+IF(D115=0.667,E115*F115*G115*H115*J115,0)</f>
        <v>64.76649706500001</v>
      </c>
      <c r="L115" s="100">
        <f>+IF(D115=0.333,E115*F115*G115*J115,0)</f>
        <v>0</v>
      </c>
      <c r="M115" s="99">
        <v>4</v>
      </c>
      <c r="N115" s="100">
        <f>+IF(D115=0.667,E115*F115*G115*H115*M115,0)</f>
        <v>86.355329420000018</v>
      </c>
      <c r="O115" s="100">
        <f>+IF(D115=0.333,E115*F115*G115*M115,0)</f>
        <v>0</v>
      </c>
      <c r="P115" s="27">
        <f t="shared" ref="P115" si="313">11.833-I115-M115-J115</f>
        <v>2.8330000000000002</v>
      </c>
      <c r="Q115" s="100">
        <f>+IF(D115=0.667,E115*F115*G115*H115*P115,0)</f>
        <v>61.161162061715018</v>
      </c>
      <c r="R115" s="100">
        <f>+IF(D115=0.333,E115*F115*G115*P115,0)</f>
        <v>0</v>
      </c>
      <c r="S115" s="101">
        <f t="shared" si="287"/>
        <v>212.28298854671505</v>
      </c>
      <c r="T115" s="101">
        <f t="shared" si="287"/>
        <v>0</v>
      </c>
      <c r="U115" s="677"/>
      <c r="V115" s="682"/>
      <c r="W115" s="683"/>
      <c r="X115" s="683"/>
      <c r="Y115" s="683"/>
      <c r="Z115" s="683"/>
      <c r="AA115" s="683"/>
      <c r="AB115" s="683"/>
      <c r="AC115" s="681"/>
      <c r="AD115" s="683"/>
      <c r="AE115" s="683"/>
      <c r="AF115" s="683"/>
      <c r="AG115" s="681"/>
      <c r="AH115" s="684"/>
      <c r="AI115" s="683"/>
      <c r="AK115" s="685"/>
      <c r="AL115" s="685"/>
      <c r="AM115" s="685"/>
      <c r="AN115" s="685"/>
      <c r="AO115" s="683"/>
      <c r="AP115" s="685"/>
      <c r="AQ115" s="685"/>
      <c r="AT115" s="28">
        <f t="shared" si="167"/>
        <v>32.367065000000004</v>
      </c>
    </row>
    <row r="116" spans="2:46" s="28" customFormat="1" ht="20.100000000000001" customHeight="1" x14ac:dyDescent="0.3">
      <c r="B116" s="369"/>
      <c r="C116" s="370"/>
      <c r="D116" s="371"/>
      <c r="E116" s="369"/>
      <c r="F116" s="369"/>
      <c r="G116" s="371"/>
      <c r="H116" s="371"/>
      <c r="I116" s="374"/>
      <c r="J116" s="397"/>
      <c r="K116" s="398"/>
      <c r="L116" s="398"/>
      <c r="M116" s="397"/>
      <c r="N116" s="398"/>
      <c r="O116" s="398"/>
      <c r="P116" s="397"/>
      <c r="Q116" s="398"/>
      <c r="R116" s="398"/>
      <c r="S116" s="399"/>
      <c r="T116" s="399"/>
      <c r="U116" s="369"/>
      <c r="V116" s="373"/>
      <c r="W116" s="374"/>
      <c r="X116" s="374"/>
      <c r="Y116" s="374"/>
      <c r="Z116" s="374"/>
      <c r="AA116" s="374"/>
      <c r="AB116" s="374"/>
      <c r="AC116" s="400"/>
      <c r="AD116" s="374"/>
      <c r="AE116" s="374"/>
      <c r="AF116" s="374"/>
      <c r="AG116" s="400"/>
      <c r="AH116" s="401"/>
      <c r="AI116" s="374"/>
      <c r="AK116" s="378"/>
      <c r="AL116" s="378"/>
      <c r="AM116" s="378"/>
      <c r="AN116" s="378"/>
      <c r="AO116" s="374"/>
      <c r="AP116" s="378"/>
      <c r="AQ116" s="378"/>
      <c r="AT116" s="28">
        <f t="shared" si="167"/>
        <v>0</v>
      </c>
    </row>
    <row r="117" spans="2:46" s="28" customFormat="1" ht="20.100000000000001" customHeight="1" x14ac:dyDescent="0.3">
      <c r="B117" s="92"/>
      <c r="C117" s="97" t="s">
        <v>375</v>
      </c>
      <c r="D117" s="92"/>
      <c r="E117" s="92"/>
      <c r="F117" s="92"/>
      <c r="G117" s="92"/>
      <c r="H117" s="92"/>
      <c r="I117" s="94"/>
      <c r="J117" s="92"/>
      <c r="K117" s="92"/>
      <c r="L117" s="92"/>
      <c r="M117" s="92"/>
      <c r="N117" s="92"/>
      <c r="O117" s="92"/>
      <c r="P117" s="92"/>
      <c r="Q117" s="92"/>
      <c r="R117" s="92"/>
      <c r="S117" s="92"/>
      <c r="T117" s="92"/>
      <c r="U117" s="92"/>
      <c r="V117" s="95"/>
      <c r="W117" s="92"/>
      <c r="X117" s="92"/>
      <c r="Y117" s="92"/>
      <c r="Z117" s="92"/>
      <c r="AA117" s="92"/>
      <c r="AB117" s="92"/>
      <c r="AC117" s="95"/>
      <c r="AD117" s="92"/>
      <c r="AE117" s="92"/>
      <c r="AF117" s="92"/>
      <c r="AG117" s="95"/>
      <c r="AH117" s="304"/>
      <c r="AI117" s="301"/>
      <c r="AK117" s="301"/>
      <c r="AL117" s="301"/>
      <c r="AM117" s="301"/>
      <c r="AN117" s="301"/>
      <c r="AO117" s="299"/>
      <c r="AP117" s="301"/>
      <c r="AQ117" s="301"/>
      <c r="AT117" s="28">
        <f t="shared" si="167"/>
        <v>0</v>
      </c>
    </row>
    <row r="118" spans="2:46" s="412" customFormat="1" ht="20.100000000000001" customHeight="1" x14ac:dyDescent="0.3">
      <c r="B118" s="440"/>
      <c r="C118" s="403" t="s">
        <v>376</v>
      </c>
      <c r="D118" s="416">
        <v>0.66700000000000004</v>
      </c>
      <c r="E118" s="440">
        <v>1</v>
      </c>
      <c r="F118" s="440">
        <v>1</v>
      </c>
      <c r="G118" s="555">
        <f>(5.005+5.3)*3.281</f>
        <v>33.810704999999999</v>
      </c>
      <c r="H118" s="416">
        <f>+D118</f>
        <v>0.66700000000000004</v>
      </c>
      <c r="I118" s="441"/>
      <c r="J118" s="442">
        <v>1</v>
      </c>
      <c r="K118" s="443">
        <f>+IF(D118=0.667,E118*F118*G118*H118*J118,0)</f>
        <v>22.551740235</v>
      </c>
      <c r="L118" s="443">
        <f>+IF(D118=0.333,E118*F118*G118*J118,0)</f>
        <v>0</v>
      </c>
      <c r="M118" s="442"/>
      <c r="N118" s="443">
        <f>+IF(D118=0.667,E118*F118*G118*H118*M118,0)</f>
        <v>0</v>
      </c>
      <c r="O118" s="443">
        <f>+IF(D118=0.333,E118*F118*G118*M118,0)</f>
        <v>0</v>
      </c>
      <c r="P118" s="406"/>
      <c r="Q118" s="443">
        <f>+IF(D118=0.667,E118*F118*G118*H118*P118,0)</f>
        <v>0</v>
      </c>
      <c r="R118" s="443">
        <f>+IF(D118=0.333,E118*F118*G118*P118,0)</f>
        <v>0</v>
      </c>
      <c r="S118" s="444">
        <f t="shared" ref="S118:T118" si="314">+Q118+N118+K118</f>
        <v>22.551740235</v>
      </c>
      <c r="T118" s="444">
        <f t="shared" si="314"/>
        <v>0</v>
      </c>
      <c r="U118" s="440"/>
      <c r="V118" s="445"/>
      <c r="W118" s="446"/>
      <c r="X118" s="416"/>
      <c r="Y118" s="446"/>
      <c r="Z118" s="416"/>
      <c r="AA118" s="416"/>
      <c r="AB118" s="416"/>
      <c r="AC118" s="445"/>
      <c r="AD118" s="416"/>
      <c r="AE118" s="416"/>
      <c r="AF118" s="416"/>
      <c r="AG118" s="445"/>
      <c r="AH118" s="447">
        <v>1</v>
      </c>
      <c r="AI118" s="414">
        <f>+AH118*G118*D118*0.17</f>
        <v>3.8337958399500005</v>
      </c>
      <c r="AK118" s="413">
        <f t="shared" ref="AK118" si="315">+IF(D118=0.667,E118*F118*G118,0)</f>
        <v>33.810704999999999</v>
      </c>
      <c r="AL118" s="413">
        <f t="shared" ref="AL118" si="316">+IF(D118=0.333,E118*F118*G118,0)</f>
        <v>0</v>
      </c>
      <c r="AM118" s="413"/>
      <c r="AN118" s="413"/>
      <c r="AO118" s="414"/>
      <c r="AP118" s="413"/>
      <c r="AQ118" s="413"/>
      <c r="AT118" s="28">
        <f t="shared" si="167"/>
        <v>33.810704999999999</v>
      </c>
    </row>
    <row r="119" spans="2:46" s="28" customFormat="1" ht="20.100000000000001" customHeight="1" x14ac:dyDescent="0.3">
      <c r="B119" s="369"/>
      <c r="C119" s="370"/>
      <c r="D119" s="371"/>
      <c r="E119" s="369"/>
      <c r="F119" s="369"/>
      <c r="G119" s="371"/>
      <c r="H119" s="371"/>
      <c r="I119" s="374"/>
      <c r="J119" s="397"/>
      <c r="K119" s="398"/>
      <c r="L119" s="398"/>
      <c r="M119" s="397"/>
      <c r="N119" s="398"/>
      <c r="O119" s="398"/>
      <c r="P119" s="397"/>
      <c r="Q119" s="398"/>
      <c r="R119" s="398"/>
      <c r="S119" s="399"/>
      <c r="T119" s="399"/>
      <c r="U119" s="369"/>
      <c r="V119" s="373"/>
      <c r="W119" s="374"/>
      <c r="X119" s="374"/>
      <c r="Y119" s="374"/>
      <c r="Z119" s="374"/>
      <c r="AA119" s="374"/>
      <c r="AB119" s="374"/>
      <c r="AC119" s="400"/>
      <c r="AD119" s="374"/>
      <c r="AE119" s="374"/>
      <c r="AF119" s="374"/>
      <c r="AG119" s="400"/>
      <c r="AH119" s="401"/>
      <c r="AI119" s="374"/>
      <c r="AK119" s="378"/>
      <c r="AL119" s="378"/>
      <c r="AM119" s="378"/>
      <c r="AN119" s="378"/>
      <c r="AO119" s="374"/>
      <c r="AP119" s="378"/>
      <c r="AQ119" s="378"/>
      <c r="AT119" s="28">
        <f t="shared" si="167"/>
        <v>0</v>
      </c>
    </row>
    <row r="120" spans="2:46" s="28" customFormat="1" ht="28.5" customHeight="1" x14ac:dyDescent="0.3">
      <c r="B120" s="92"/>
      <c r="C120" s="97" t="s">
        <v>350</v>
      </c>
      <c r="D120" s="92"/>
      <c r="E120" s="92"/>
      <c r="F120" s="92"/>
      <c r="G120" s="92"/>
      <c r="H120" s="92"/>
      <c r="I120" s="94"/>
      <c r="J120" s="92"/>
      <c r="K120" s="92"/>
      <c r="L120" s="92"/>
      <c r="M120" s="92"/>
      <c r="N120" s="92"/>
      <c r="O120" s="92"/>
      <c r="P120" s="92"/>
      <c r="Q120" s="92"/>
      <c r="R120" s="92"/>
      <c r="S120" s="92"/>
      <c r="T120" s="92"/>
      <c r="U120" s="92"/>
      <c r="V120" s="95"/>
      <c r="W120" s="92"/>
      <c r="X120" s="92"/>
      <c r="Y120" s="92"/>
      <c r="Z120" s="92"/>
      <c r="AA120" s="92"/>
      <c r="AB120" s="92"/>
      <c r="AC120" s="95"/>
      <c r="AD120" s="92"/>
      <c r="AE120" s="92"/>
      <c r="AF120" s="92"/>
      <c r="AG120" s="95"/>
      <c r="AH120" s="304"/>
      <c r="AI120" s="301"/>
      <c r="AK120" s="301"/>
      <c r="AL120" s="301"/>
      <c r="AM120" s="301"/>
      <c r="AN120" s="301"/>
      <c r="AO120" s="299"/>
      <c r="AP120" s="301"/>
      <c r="AQ120" s="301"/>
      <c r="AT120" s="28">
        <f t="shared" si="167"/>
        <v>0</v>
      </c>
    </row>
    <row r="121" spans="2:46" s="28" customFormat="1" ht="20.100000000000001" customHeight="1" x14ac:dyDescent="0.3">
      <c r="B121" s="92"/>
      <c r="C121" s="62" t="s">
        <v>33</v>
      </c>
      <c r="D121" s="98">
        <v>0.66700000000000004</v>
      </c>
      <c r="E121" s="92">
        <v>1</v>
      </c>
      <c r="F121" s="92">
        <v>1</v>
      </c>
      <c r="G121" s="555">
        <f>(1.2)*3.281</f>
        <v>3.9371999999999998</v>
      </c>
      <c r="H121" s="98">
        <f>+D121</f>
        <v>0.66700000000000004</v>
      </c>
      <c r="I121" s="94">
        <v>2</v>
      </c>
      <c r="J121" s="99">
        <v>3</v>
      </c>
      <c r="K121" s="100">
        <f>+IF(D121=0.667,E121*F121*G121*H121*J121,0)</f>
        <v>7.8783372000000007</v>
      </c>
      <c r="L121" s="100">
        <f>+IF(D121=0.333,E121*F121*G121*J121,0)</f>
        <v>0</v>
      </c>
      <c r="M121" s="99">
        <v>4</v>
      </c>
      <c r="N121" s="100">
        <f>+IF(D121=0.667,E121*F121*G121*H121*M121,0)</f>
        <v>10.504449600000001</v>
      </c>
      <c r="O121" s="100">
        <f>+IF(D121=0.333,E121*F121*G121*M121,0)</f>
        <v>0</v>
      </c>
      <c r="P121" s="81">
        <f>11.833-I121-M121-J121</f>
        <v>2.8330000000000002</v>
      </c>
      <c r="Q121" s="100">
        <f>+IF(D121=0.667,E121*F121*G121*H121*P121,0)</f>
        <v>7.439776429200001</v>
      </c>
      <c r="R121" s="100">
        <f>+IF(D121=0.333,E121*F121*G121*P121,0)</f>
        <v>0</v>
      </c>
      <c r="S121" s="101">
        <f t="shared" ref="S121:T126" si="317">+Q121+N121+K121</f>
        <v>25.822563229200004</v>
      </c>
      <c r="T121" s="101">
        <f t="shared" si="317"/>
        <v>0</v>
      </c>
      <c r="U121" s="92"/>
      <c r="V121" s="91"/>
      <c r="W121" s="102"/>
      <c r="X121" s="98"/>
      <c r="Y121" s="102"/>
      <c r="Z121" s="98"/>
      <c r="AA121" s="98"/>
      <c r="AB121" s="98"/>
      <c r="AC121" s="91"/>
      <c r="AD121" s="98"/>
      <c r="AE121" s="98"/>
      <c r="AF121" s="98"/>
      <c r="AG121" s="91"/>
      <c r="AH121" s="304">
        <v>1</v>
      </c>
      <c r="AI121" s="299">
        <f>+AH121*G121*D121*0.17</f>
        <v>0.44643910800000008</v>
      </c>
      <c r="AK121" s="301">
        <f t="shared" ref="AK121:AK125" si="318">+IF(D121=0.667,E121*F121*G121,0)</f>
        <v>3.9371999999999998</v>
      </c>
      <c r="AL121" s="301">
        <f t="shared" ref="AL121:AL125" si="319">+IF(D121=0.333,E121*F121*G121,0)</f>
        <v>0</v>
      </c>
      <c r="AM121" s="301"/>
      <c r="AN121" s="301"/>
      <c r="AO121" s="299"/>
      <c r="AP121" s="301"/>
      <c r="AQ121" s="301"/>
      <c r="AT121" s="28">
        <f t="shared" si="167"/>
        <v>3.9371999999999998</v>
      </c>
    </row>
    <row r="122" spans="2:46" s="28" customFormat="1" ht="20.100000000000001" customHeight="1" x14ac:dyDescent="0.3">
      <c r="B122" s="18"/>
      <c r="C122" s="62" t="s">
        <v>35</v>
      </c>
      <c r="D122" s="98">
        <v>0.66700000000000004</v>
      </c>
      <c r="E122" s="18">
        <v>-1</v>
      </c>
      <c r="F122" s="18">
        <v>1</v>
      </c>
      <c r="G122" s="556">
        <v>3.25</v>
      </c>
      <c r="H122" s="20">
        <f t="shared" ref="H122" si="320">+D122</f>
        <v>0.66700000000000004</v>
      </c>
      <c r="I122" s="21"/>
      <c r="J122" s="81">
        <v>3</v>
      </c>
      <c r="K122" s="103">
        <f t="shared" ref="K122" si="321">+IF(D122=0.667,E122*F122*G122*H122*J122,0)</f>
        <v>-6.5032500000000013</v>
      </c>
      <c r="L122" s="103">
        <f t="shared" ref="L122" si="322">+IF(D122=0.333,E122*F122*G122*J122,0)</f>
        <v>0</v>
      </c>
      <c r="M122" s="81">
        <v>4</v>
      </c>
      <c r="N122" s="103">
        <f t="shared" ref="N122" si="323">+IF(D122=0.667,E122*F122*G122*H122*M122,0)</f>
        <v>-8.6710000000000012</v>
      </c>
      <c r="O122" s="103">
        <f t="shared" ref="O122" si="324">+IF(D122=0.333,E122*F122*G122*M122,0)</f>
        <v>0</v>
      </c>
      <c r="P122" s="81"/>
      <c r="Q122" s="103">
        <f t="shared" ref="Q122" si="325">+IF(D122=0.667,E122*F122*G122*H122*P122,0)</f>
        <v>0</v>
      </c>
      <c r="R122" s="103">
        <f t="shared" ref="R122" si="326">+IF(D122=0.333,E122*F122*G122*P122,0)</f>
        <v>0</v>
      </c>
      <c r="S122" s="104">
        <f t="shared" si="317"/>
        <v>-15.174250000000002</v>
      </c>
      <c r="T122" s="104">
        <f t="shared" si="317"/>
        <v>0</v>
      </c>
      <c r="U122" s="18"/>
      <c r="V122" s="26"/>
      <c r="W122" s="21">
        <f>+G122+D122</f>
        <v>3.9169999999999998</v>
      </c>
      <c r="X122" s="21">
        <v>0.5</v>
      </c>
      <c r="Y122" s="21">
        <f>+IF(D122=0.667,-E122*F122*H122*W122*X122,0)</f>
        <v>1.3063195000000001</v>
      </c>
      <c r="Z122" s="21">
        <f>+IF(D122=0.333,-E122*F122*H122*W122*X122,0)</f>
        <v>0</v>
      </c>
      <c r="AA122" s="21">
        <f>+F122*G122*H122</f>
        <v>2.1677500000000003</v>
      </c>
      <c r="AB122" s="21">
        <f t="shared" ref="AB122" si="327">2*F122*W122*X122</f>
        <v>3.9169999999999998</v>
      </c>
      <c r="AC122" s="27"/>
      <c r="AD122" s="21"/>
      <c r="AE122" s="21">
        <f t="shared" ref="AE122" si="328">+IF(D122=0.667,AD122*W122*H122*F122,0)</f>
        <v>0</v>
      </c>
      <c r="AF122" s="21">
        <f t="shared" ref="AF122" si="329">+IF(D122=0.333,AD122*W122*H122*F122,0)</f>
        <v>0</v>
      </c>
      <c r="AG122" s="27"/>
      <c r="AH122" s="396"/>
      <c r="AI122" s="21">
        <f t="shared" ref="AI122" si="330">+AH122*G122*D122*0.17</f>
        <v>0</v>
      </c>
      <c r="AK122" s="301">
        <f t="shared" si="318"/>
        <v>-3.25</v>
      </c>
      <c r="AL122" s="301">
        <f t="shared" si="319"/>
        <v>0</v>
      </c>
      <c r="AM122" s="301">
        <f>+IF(D122=0.667,1.33,0)</f>
        <v>1.33</v>
      </c>
      <c r="AN122" s="301">
        <f>+IF(D122=0.333,1.33,0)</f>
        <v>0</v>
      </c>
      <c r="AO122" s="299"/>
      <c r="AP122" s="301"/>
      <c r="AQ122" s="301"/>
      <c r="AT122" s="28">
        <f t="shared" si="167"/>
        <v>-3.25</v>
      </c>
    </row>
    <row r="123" spans="2:46" s="28" customFormat="1" ht="20.100000000000001" customHeight="1" x14ac:dyDescent="0.3">
      <c r="B123" s="92"/>
      <c r="C123" s="62" t="s">
        <v>43</v>
      </c>
      <c r="D123" s="98">
        <v>0.66700000000000004</v>
      </c>
      <c r="E123" s="92">
        <v>1</v>
      </c>
      <c r="F123" s="92">
        <v>1</v>
      </c>
      <c r="G123" s="555">
        <f>(3.71+0.9)*3.281</f>
        <v>15.125410000000002</v>
      </c>
      <c r="H123" s="98">
        <f>+D123</f>
        <v>0.66700000000000004</v>
      </c>
      <c r="I123" s="94">
        <v>2</v>
      </c>
      <c r="J123" s="99">
        <v>3</v>
      </c>
      <c r="K123" s="100">
        <f>+IF(D123=0.667,E123*F123*G123*H123*J123,0)</f>
        <v>30.265945410000008</v>
      </c>
      <c r="L123" s="100">
        <f>+IF(D123=0.333,E123*F123*G123*J123,0)</f>
        <v>0</v>
      </c>
      <c r="M123" s="99">
        <v>4</v>
      </c>
      <c r="N123" s="100">
        <f>+IF(D123=0.667,E123*F123*G123*H123*M123,0)</f>
        <v>40.35459388000001</v>
      </c>
      <c r="O123" s="100">
        <f>+IF(D123=0.333,E123*F123*G123*M123,0)</f>
        <v>0</v>
      </c>
      <c r="P123" s="81">
        <f t="shared" ref="P123:P124" si="331">11.833-I123-M123-J123</f>
        <v>2.8330000000000002</v>
      </c>
      <c r="Q123" s="100">
        <f>+IF(D123=0.667,E123*F123*G123*H123*P123,0)</f>
        <v>28.581141115510007</v>
      </c>
      <c r="R123" s="100">
        <f>+IF(D123=0.333,E123*F123*G123*P123,0)</f>
        <v>0</v>
      </c>
      <c r="S123" s="101">
        <f t="shared" si="317"/>
        <v>99.201680405510018</v>
      </c>
      <c r="T123" s="101">
        <f t="shared" si="317"/>
        <v>0</v>
      </c>
      <c r="U123" s="92"/>
      <c r="V123" s="91"/>
      <c r="W123" s="102"/>
      <c r="X123" s="98"/>
      <c r="Y123" s="102"/>
      <c r="Z123" s="98"/>
      <c r="AA123" s="98"/>
      <c r="AB123" s="98"/>
      <c r="AC123" s="91"/>
      <c r="AD123" s="98"/>
      <c r="AE123" s="98"/>
      <c r="AF123" s="98"/>
      <c r="AG123" s="91"/>
      <c r="AH123" s="304">
        <v>1</v>
      </c>
      <c r="AI123" s="299">
        <f>+AH123*G123*D123*0.17</f>
        <v>1.7150702399000006</v>
      </c>
      <c r="AK123" s="301">
        <f t="shared" si="318"/>
        <v>15.125410000000002</v>
      </c>
      <c r="AL123" s="301">
        <f t="shared" si="319"/>
        <v>0</v>
      </c>
      <c r="AM123" s="301"/>
      <c r="AN123" s="301"/>
      <c r="AO123" s="299"/>
      <c r="AP123" s="301"/>
      <c r="AQ123" s="301"/>
      <c r="AT123" s="28">
        <f t="shared" si="167"/>
        <v>15.125410000000002</v>
      </c>
    </row>
    <row r="124" spans="2:46" s="28" customFormat="1" ht="20.100000000000001" customHeight="1" x14ac:dyDescent="0.3">
      <c r="B124" s="92"/>
      <c r="C124" s="62" t="s">
        <v>32</v>
      </c>
      <c r="D124" s="98">
        <v>0.66700000000000004</v>
      </c>
      <c r="E124" s="92">
        <v>1</v>
      </c>
      <c r="F124" s="92">
        <v>1</v>
      </c>
      <c r="G124" s="555">
        <f>(4.28)*3.281</f>
        <v>14.042680000000001</v>
      </c>
      <c r="H124" s="98">
        <f>+D124</f>
        <v>0.66700000000000004</v>
      </c>
      <c r="I124" s="94">
        <v>2</v>
      </c>
      <c r="J124" s="99">
        <v>3</v>
      </c>
      <c r="K124" s="100">
        <f>+IF(D124=0.667,E124*F124*G124*H124*J124,0)</f>
        <v>28.099402680000001</v>
      </c>
      <c r="L124" s="100">
        <f>+IF(D124=0.333,E124*F124*G124*J124,0)</f>
        <v>0</v>
      </c>
      <c r="M124" s="99">
        <v>4</v>
      </c>
      <c r="N124" s="100">
        <f>+IF(D124=0.667,E124*F124*G124*H124*M124,0)</f>
        <v>37.465870240000001</v>
      </c>
      <c r="O124" s="100">
        <f>+IF(D124=0.333,E124*F124*G124*M124,0)</f>
        <v>0</v>
      </c>
      <c r="P124" s="81">
        <f t="shared" si="331"/>
        <v>2.8330000000000002</v>
      </c>
      <c r="Q124" s="100">
        <f>+IF(D124=0.667,E124*F124*G124*H124*P124,0)</f>
        <v>26.535202597480001</v>
      </c>
      <c r="R124" s="100">
        <f>+IF(D124=0.333,E124*F124*G124*P124,0)</f>
        <v>0</v>
      </c>
      <c r="S124" s="101">
        <f t="shared" si="317"/>
        <v>92.100475517479993</v>
      </c>
      <c r="T124" s="101">
        <f t="shared" si="317"/>
        <v>0</v>
      </c>
      <c r="U124" s="92"/>
      <c r="V124" s="91"/>
      <c r="W124" s="102"/>
      <c r="X124" s="98"/>
      <c r="Y124" s="102"/>
      <c r="Z124" s="98"/>
      <c r="AA124" s="98"/>
      <c r="AB124" s="98"/>
      <c r="AC124" s="91"/>
      <c r="AD124" s="98"/>
      <c r="AE124" s="98"/>
      <c r="AF124" s="98"/>
      <c r="AG124" s="91"/>
      <c r="AH124" s="304">
        <v>1</v>
      </c>
      <c r="AI124" s="299">
        <f>+AH124*G124*D124*0.17</f>
        <v>1.5922994852000001</v>
      </c>
      <c r="AK124" s="301">
        <f t="shared" si="318"/>
        <v>14.042680000000001</v>
      </c>
      <c r="AL124" s="301">
        <f t="shared" si="319"/>
        <v>0</v>
      </c>
      <c r="AM124" s="301"/>
      <c r="AN124" s="301"/>
      <c r="AO124" s="299"/>
      <c r="AP124" s="301"/>
      <c r="AQ124" s="301"/>
      <c r="AT124" s="28">
        <f t="shared" si="167"/>
        <v>14.042680000000001</v>
      </c>
    </row>
    <row r="125" spans="2:46" s="28" customFormat="1" ht="20.100000000000001" customHeight="1" x14ac:dyDescent="0.3">
      <c r="B125" s="18"/>
      <c r="C125" s="62" t="s">
        <v>35</v>
      </c>
      <c r="D125" s="98">
        <v>0.66700000000000004</v>
      </c>
      <c r="E125" s="18">
        <v>-1</v>
      </c>
      <c r="F125" s="18">
        <v>1</v>
      </c>
      <c r="G125" s="556">
        <v>3.25</v>
      </c>
      <c r="H125" s="20">
        <f t="shared" ref="H125" si="332">+D125</f>
        <v>0.66700000000000004</v>
      </c>
      <c r="I125" s="21"/>
      <c r="J125" s="81">
        <v>3</v>
      </c>
      <c r="K125" s="103">
        <f t="shared" ref="K125" si="333">+IF(D125=0.667,E125*F125*G125*H125*J125,0)</f>
        <v>-6.5032500000000013</v>
      </c>
      <c r="L125" s="103">
        <f t="shared" ref="L125" si="334">+IF(D125=0.333,E125*F125*G125*J125,0)</f>
        <v>0</v>
      </c>
      <c r="M125" s="81">
        <v>4</v>
      </c>
      <c r="N125" s="103">
        <f t="shared" ref="N125" si="335">+IF(D125=0.667,E125*F125*G125*H125*M125,0)</f>
        <v>-8.6710000000000012</v>
      </c>
      <c r="O125" s="103">
        <f t="shared" ref="O125" si="336">+IF(D125=0.333,E125*F125*G125*M125,0)</f>
        <v>0</v>
      </c>
      <c r="P125" s="81"/>
      <c r="Q125" s="103">
        <f t="shared" ref="Q125" si="337">+IF(D125=0.667,E125*F125*G125*H125*P125,0)</f>
        <v>0</v>
      </c>
      <c r="R125" s="103">
        <f t="shared" ref="R125" si="338">+IF(D125=0.333,E125*F125*G125*P125,0)</f>
        <v>0</v>
      </c>
      <c r="S125" s="104">
        <f t="shared" si="317"/>
        <v>-15.174250000000002</v>
      </c>
      <c r="T125" s="104">
        <f t="shared" si="317"/>
        <v>0</v>
      </c>
      <c r="U125" s="18"/>
      <c r="V125" s="26"/>
      <c r="W125" s="21">
        <f>+G125+D125</f>
        <v>3.9169999999999998</v>
      </c>
      <c r="X125" s="21">
        <v>0.5</v>
      </c>
      <c r="Y125" s="21">
        <f>+IF(D125=0.667,-E125*F125*H125*W125*X125,0)</f>
        <v>1.3063195000000001</v>
      </c>
      <c r="Z125" s="21">
        <f>+IF(D125=0.333,-E125*F125*H125*W125*X125,0)</f>
        <v>0</v>
      </c>
      <c r="AA125" s="21">
        <f>+F125*G125*H125</f>
        <v>2.1677500000000003</v>
      </c>
      <c r="AB125" s="21">
        <f t="shared" ref="AB125" si="339">2*F125*W125*X125</f>
        <v>3.9169999999999998</v>
      </c>
      <c r="AC125" s="27"/>
      <c r="AD125" s="21"/>
      <c r="AE125" s="21">
        <f t="shared" ref="AE125" si="340">+IF(D125=0.667,AD125*W125*H125*F125,0)</f>
        <v>0</v>
      </c>
      <c r="AF125" s="21">
        <f t="shared" ref="AF125" si="341">+IF(D125=0.333,AD125*W125*H125*F125,0)</f>
        <v>0</v>
      </c>
      <c r="AG125" s="27"/>
      <c r="AH125" s="396"/>
      <c r="AI125" s="21">
        <f t="shared" ref="AI125" si="342">+AH125*G125*D125*0.17</f>
        <v>0</v>
      </c>
      <c r="AK125" s="301">
        <f t="shared" si="318"/>
        <v>-3.25</v>
      </c>
      <c r="AL125" s="301">
        <f t="shared" si="319"/>
        <v>0</v>
      </c>
      <c r="AM125" s="301">
        <f>+IF(D125=0.667,1.33,0)</f>
        <v>1.33</v>
      </c>
      <c r="AN125" s="301">
        <f>+IF(D125=0.333,1.33,0)</f>
        <v>0</v>
      </c>
      <c r="AO125" s="299"/>
      <c r="AP125" s="301"/>
      <c r="AQ125" s="301"/>
      <c r="AT125" s="28">
        <f t="shared" si="167"/>
        <v>-3.25</v>
      </c>
    </row>
    <row r="126" spans="2:46" s="28" customFormat="1" ht="20.100000000000001" customHeight="1" x14ac:dyDescent="0.3">
      <c r="B126" s="677"/>
      <c r="C126" s="62" t="s">
        <v>31</v>
      </c>
      <c r="D126" s="98">
        <v>0.66700000000000004</v>
      </c>
      <c r="E126" s="92">
        <v>1</v>
      </c>
      <c r="F126" s="92">
        <v>1</v>
      </c>
      <c r="G126" s="555">
        <f>(7.005+3.267)*3.281</f>
        <v>33.702432000000002</v>
      </c>
      <c r="H126" s="98">
        <f>+D126</f>
        <v>0.66700000000000004</v>
      </c>
      <c r="I126" s="94">
        <v>2</v>
      </c>
      <c r="J126" s="99">
        <v>3</v>
      </c>
      <c r="K126" s="100">
        <f>+IF(D126=0.667,E126*F126*G126*H126*J126,0)</f>
        <v>67.438566432000016</v>
      </c>
      <c r="L126" s="100">
        <f>+IF(D126=0.333,E126*F126*G126*J126,0)</f>
        <v>0</v>
      </c>
      <c r="M126" s="99">
        <v>4</v>
      </c>
      <c r="N126" s="100">
        <f>+IF(D126=0.667,E126*F126*G126*H126*M126,0)</f>
        <v>89.918088576000017</v>
      </c>
      <c r="O126" s="100">
        <f>+IF(D126=0.333,E126*F126*G126*M126,0)</f>
        <v>0</v>
      </c>
      <c r="P126" s="27">
        <f t="shared" ref="P126" si="343">11.833-I126-M126-J126</f>
        <v>2.8330000000000002</v>
      </c>
      <c r="Q126" s="100">
        <f>+IF(D126=0.667,E126*F126*G126*H126*P126,0)</f>
        <v>63.684486233952015</v>
      </c>
      <c r="R126" s="100">
        <f>+IF(D126=0.333,E126*F126*G126*P126,0)</f>
        <v>0</v>
      </c>
      <c r="S126" s="101">
        <f t="shared" si="317"/>
        <v>221.04114124195206</v>
      </c>
      <c r="T126" s="101">
        <f t="shared" si="317"/>
        <v>0</v>
      </c>
      <c r="U126" s="677"/>
      <c r="V126" s="682"/>
      <c r="W126" s="683"/>
      <c r="X126" s="683"/>
      <c r="Y126" s="683"/>
      <c r="Z126" s="683"/>
      <c r="AA126" s="683"/>
      <c r="AB126" s="683"/>
      <c r="AC126" s="681"/>
      <c r="AD126" s="683"/>
      <c r="AE126" s="683"/>
      <c r="AF126" s="683"/>
      <c r="AG126" s="681"/>
      <c r="AH126" s="684"/>
      <c r="AI126" s="683"/>
      <c r="AK126" s="685"/>
      <c r="AL126" s="685"/>
      <c r="AM126" s="685"/>
      <c r="AN126" s="685"/>
      <c r="AO126" s="683"/>
      <c r="AP126" s="685"/>
      <c r="AQ126" s="685"/>
      <c r="AT126" s="28">
        <f t="shared" si="167"/>
        <v>33.702432000000002</v>
      </c>
    </row>
    <row r="127" spans="2:46" s="28" customFormat="1" ht="20.100000000000001" customHeight="1" x14ac:dyDescent="0.3">
      <c r="B127" s="369"/>
      <c r="C127" s="370"/>
      <c r="D127" s="371"/>
      <c r="E127" s="369"/>
      <c r="F127" s="369"/>
      <c r="G127" s="371"/>
      <c r="H127" s="371"/>
      <c r="I127" s="374"/>
      <c r="J127" s="397"/>
      <c r="K127" s="398"/>
      <c r="L127" s="398"/>
      <c r="M127" s="397"/>
      <c r="N127" s="398"/>
      <c r="O127" s="398"/>
      <c r="P127" s="397"/>
      <c r="Q127" s="398"/>
      <c r="R127" s="398"/>
      <c r="S127" s="399"/>
      <c r="T127" s="399"/>
      <c r="U127" s="369"/>
      <c r="V127" s="373"/>
      <c r="W127" s="374"/>
      <c r="X127" s="374"/>
      <c r="Y127" s="374"/>
      <c r="Z127" s="374"/>
      <c r="AA127" s="374"/>
      <c r="AB127" s="374"/>
      <c r="AC127" s="400"/>
      <c r="AD127" s="374"/>
      <c r="AE127" s="374"/>
      <c r="AF127" s="374"/>
      <c r="AG127" s="400"/>
      <c r="AH127" s="401"/>
      <c r="AI127" s="374"/>
      <c r="AK127" s="378"/>
      <c r="AL127" s="378"/>
      <c r="AM127" s="378"/>
      <c r="AN127" s="378"/>
      <c r="AO127" s="374"/>
      <c r="AP127" s="378"/>
      <c r="AQ127" s="378"/>
      <c r="AT127" s="28">
        <f t="shared" si="167"/>
        <v>0</v>
      </c>
    </row>
    <row r="128" spans="2:46" s="28" customFormat="1" ht="20.100000000000001" customHeight="1" x14ac:dyDescent="0.3">
      <c r="B128" s="92"/>
      <c r="C128" s="97" t="s">
        <v>377</v>
      </c>
      <c r="D128" s="92"/>
      <c r="E128" s="92"/>
      <c r="F128" s="92"/>
      <c r="G128" s="92"/>
      <c r="H128" s="92"/>
      <c r="I128" s="94"/>
      <c r="J128" s="92"/>
      <c r="K128" s="92"/>
      <c r="L128" s="92"/>
      <c r="M128" s="92"/>
      <c r="N128" s="92"/>
      <c r="O128" s="92"/>
      <c r="P128" s="92"/>
      <c r="Q128" s="92"/>
      <c r="R128" s="92"/>
      <c r="S128" s="92"/>
      <c r="T128" s="92"/>
      <c r="U128" s="92"/>
      <c r="V128" s="95"/>
      <c r="W128" s="92"/>
      <c r="X128" s="92"/>
      <c r="Y128" s="92"/>
      <c r="Z128" s="92"/>
      <c r="AA128" s="92"/>
      <c r="AB128" s="92"/>
      <c r="AC128" s="95"/>
      <c r="AD128" s="92"/>
      <c r="AE128" s="92"/>
      <c r="AF128" s="92"/>
      <c r="AG128" s="95"/>
      <c r="AH128" s="304"/>
      <c r="AI128" s="301"/>
      <c r="AK128" s="301"/>
      <c r="AL128" s="301"/>
      <c r="AM128" s="301"/>
      <c r="AN128" s="301"/>
      <c r="AO128" s="299"/>
      <c r="AP128" s="301"/>
      <c r="AQ128" s="301"/>
      <c r="AT128" s="28">
        <f t="shared" si="167"/>
        <v>0</v>
      </c>
    </row>
    <row r="129" spans="2:46" s="412" customFormat="1" ht="20.100000000000001" customHeight="1" x14ac:dyDescent="0.3">
      <c r="B129" s="440"/>
      <c r="C129" s="403" t="s">
        <v>376</v>
      </c>
      <c r="D129" s="416">
        <v>0.66700000000000004</v>
      </c>
      <c r="E129" s="440">
        <v>1</v>
      </c>
      <c r="F129" s="440">
        <v>1</v>
      </c>
      <c r="G129" s="416">
        <f>(5.3)*3.281</f>
        <v>17.389299999999999</v>
      </c>
      <c r="H129" s="416">
        <f>+D129</f>
        <v>0.66700000000000004</v>
      </c>
      <c r="I129" s="441">
        <v>2</v>
      </c>
      <c r="J129" s="442">
        <v>1</v>
      </c>
      <c r="K129" s="443">
        <f>+IF(D129=0.667,E129*F129*G129*H129*J129,0)</f>
        <v>11.5986631</v>
      </c>
      <c r="L129" s="443">
        <f>+IF(D129=0.333,E129*F129*G129*J129,0)</f>
        <v>0</v>
      </c>
      <c r="M129" s="442"/>
      <c r="N129" s="443">
        <f>+IF(D129=0.667,E129*F129*G129*H129*M129,0)</f>
        <v>0</v>
      </c>
      <c r="O129" s="443">
        <f>+IF(D129=0.333,E129*F129*G129*M129,0)</f>
        <v>0</v>
      </c>
      <c r="P129" s="406"/>
      <c r="Q129" s="443">
        <f>+IF(D129=0.667,E129*F129*G129*H129*P129,0)</f>
        <v>0</v>
      </c>
      <c r="R129" s="443">
        <f>+IF(D129=0.333,E129*F129*G129*P129,0)</f>
        <v>0</v>
      </c>
      <c r="S129" s="444">
        <f t="shared" ref="S129:T129" si="344">+Q129+N129+K129</f>
        <v>11.5986631</v>
      </c>
      <c r="T129" s="444">
        <f t="shared" si="344"/>
        <v>0</v>
      </c>
      <c r="U129" s="440"/>
      <c r="V129" s="445"/>
      <c r="W129" s="446"/>
      <c r="X129" s="416"/>
      <c r="Y129" s="446"/>
      <c r="Z129" s="416"/>
      <c r="AA129" s="416"/>
      <c r="AB129" s="416"/>
      <c r="AC129" s="445"/>
      <c r="AD129" s="416"/>
      <c r="AE129" s="416"/>
      <c r="AF129" s="416"/>
      <c r="AG129" s="445"/>
      <c r="AH129" s="447">
        <v>1</v>
      </c>
      <c r="AI129" s="414">
        <f>+AH129*G129*D129*0.17</f>
        <v>1.9717727270000001</v>
      </c>
      <c r="AK129" s="413">
        <f t="shared" ref="AK129" si="345">+IF(D129=0.667,E129*F129*G129,0)</f>
        <v>17.389299999999999</v>
      </c>
      <c r="AL129" s="413">
        <f t="shared" ref="AL129" si="346">+IF(D129=0.333,E129*F129*G129,0)</f>
        <v>0</v>
      </c>
      <c r="AM129" s="413"/>
      <c r="AN129" s="413"/>
      <c r="AO129" s="414"/>
      <c r="AP129" s="413"/>
      <c r="AQ129" s="413"/>
      <c r="AT129" s="28">
        <f t="shared" si="167"/>
        <v>17.389299999999999</v>
      </c>
    </row>
    <row r="130" spans="2:46" s="28" customFormat="1" ht="20.100000000000001" customHeight="1" x14ac:dyDescent="0.3">
      <c r="B130" s="369"/>
      <c r="C130" s="370"/>
      <c r="D130" s="371"/>
      <c r="E130" s="369"/>
      <c r="F130" s="369"/>
      <c r="G130" s="371"/>
      <c r="H130" s="371"/>
      <c r="I130" s="374"/>
      <c r="J130" s="397"/>
      <c r="K130" s="398"/>
      <c r="L130" s="398"/>
      <c r="M130" s="397"/>
      <c r="N130" s="398"/>
      <c r="O130" s="398"/>
      <c r="P130" s="397"/>
      <c r="Q130" s="398"/>
      <c r="R130" s="398"/>
      <c r="S130" s="399"/>
      <c r="T130" s="399"/>
      <c r="U130" s="369"/>
      <c r="V130" s="373"/>
      <c r="W130" s="374"/>
      <c r="X130" s="374"/>
      <c r="Y130" s="374"/>
      <c r="Z130" s="374"/>
      <c r="AA130" s="374"/>
      <c r="AB130" s="374"/>
      <c r="AC130" s="400"/>
      <c r="AD130" s="374"/>
      <c r="AE130" s="374"/>
      <c r="AF130" s="374"/>
      <c r="AG130" s="400"/>
      <c r="AH130" s="401"/>
      <c r="AI130" s="374"/>
      <c r="AK130" s="378"/>
      <c r="AL130" s="378"/>
      <c r="AM130" s="378"/>
      <c r="AN130" s="378"/>
      <c r="AO130" s="374"/>
      <c r="AP130" s="378"/>
      <c r="AQ130" s="378"/>
      <c r="AT130" s="28">
        <f t="shared" si="167"/>
        <v>0</v>
      </c>
    </row>
    <row r="131" spans="2:46" s="28" customFormat="1" ht="20.100000000000001" customHeight="1" x14ac:dyDescent="0.3">
      <c r="B131" s="92"/>
      <c r="C131" s="97" t="s">
        <v>351</v>
      </c>
      <c r="D131" s="98"/>
      <c r="E131" s="92"/>
      <c r="F131" s="92"/>
      <c r="G131" s="98"/>
      <c r="H131" s="98"/>
      <c r="I131" s="94"/>
      <c r="J131" s="92"/>
      <c r="K131" s="92"/>
      <c r="L131" s="92"/>
      <c r="M131" s="92"/>
      <c r="N131" s="92"/>
      <c r="O131" s="92"/>
      <c r="P131" s="92"/>
      <c r="Q131" s="92"/>
      <c r="R131" s="92"/>
      <c r="S131" s="92"/>
      <c r="T131" s="92"/>
      <c r="U131" s="92"/>
      <c r="V131" s="91"/>
      <c r="W131" s="102"/>
      <c r="X131" s="98"/>
      <c r="Y131" s="102"/>
      <c r="Z131" s="98"/>
      <c r="AA131" s="98"/>
      <c r="AB131" s="98"/>
      <c r="AC131" s="91"/>
      <c r="AD131" s="98"/>
      <c r="AE131" s="98"/>
      <c r="AF131" s="98"/>
      <c r="AG131" s="91"/>
      <c r="AH131" s="304"/>
      <c r="AI131" s="299"/>
      <c r="AK131" s="301">
        <f t="shared" ref="AK131:AK158" si="347">+IF(D131=0.667,E131*F131*G131,0)</f>
        <v>0</v>
      </c>
      <c r="AL131" s="301">
        <f t="shared" ref="AL131:AL158" si="348">+IF(D131=0.333,E131*F131*G131,0)</f>
        <v>0</v>
      </c>
      <c r="AM131" s="301"/>
      <c r="AN131" s="301">
        <f>+IF(D131=0.333,1,0)</f>
        <v>0</v>
      </c>
      <c r="AO131" s="299"/>
      <c r="AP131" s="301"/>
      <c r="AQ131" s="301"/>
      <c r="AT131" s="28">
        <f t="shared" si="167"/>
        <v>0</v>
      </c>
    </row>
    <row r="132" spans="2:46" s="28" customFormat="1" ht="20.100000000000001" customHeight="1" x14ac:dyDescent="0.3">
      <c r="B132" s="92"/>
      <c r="C132" s="95" t="s">
        <v>378</v>
      </c>
      <c r="D132" s="98">
        <v>0.66700000000000004</v>
      </c>
      <c r="E132" s="92">
        <v>1</v>
      </c>
      <c r="F132" s="92">
        <v>1</v>
      </c>
      <c r="G132" s="555">
        <f>(9.05)*3.281</f>
        <v>29.693050000000003</v>
      </c>
      <c r="H132" s="98">
        <f t="shared" ref="H132:H136" si="349">+D132</f>
        <v>0.66700000000000004</v>
      </c>
      <c r="I132" s="94">
        <v>2</v>
      </c>
      <c r="J132" s="99">
        <v>1</v>
      </c>
      <c r="K132" s="100">
        <f t="shared" ref="K132:K136" si="350">+IF(D132=0.667,E132*F132*G132*H132*J132,0)</f>
        <v>19.805264350000002</v>
      </c>
      <c r="L132" s="100">
        <f t="shared" ref="L132:L136" si="351">+IF(D132=0.333,E132*F132*G132*J132,0)</f>
        <v>0</v>
      </c>
      <c r="M132" s="99"/>
      <c r="N132" s="100">
        <f t="shared" ref="N132:N136" si="352">+IF(D132=0.667,E132*F132*G132*H132*M132,0)</f>
        <v>0</v>
      </c>
      <c r="O132" s="100">
        <f t="shared" ref="O132:O136" si="353">+IF(D132=0.333,E132*F132*G132*M132,0)</f>
        <v>0</v>
      </c>
      <c r="P132" s="81"/>
      <c r="Q132" s="100">
        <f t="shared" ref="Q132:Q136" si="354">+IF(D132=0.667,E132*F132*G132*H132*P132,0)</f>
        <v>0</v>
      </c>
      <c r="R132" s="100">
        <f t="shared" ref="R132:R136" si="355">+IF(D132=0.333,E132*F132*G132*P132,0)</f>
        <v>0</v>
      </c>
      <c r="S132" s="101">
        <f t="shared" ref="S132:T136" si="356">+Q132+N132+K132</f>
        <v>19.805264350000002</v>
      </c>
      <c r="T132" s="101">
        <f t="shared" si="356"/>
        <v>0</v>
      </c>
      <c r="U132" s="92"/>
      <c r="V132" s="91"/>
      <c r="W132" s="102"/>
      <c r="X132" s="98"/>
      <c r="Y132" s="102"/>
      <c r="Z132" s="98"/>
      <c r="AA132" s="98"/>
      <c r="AB132" s="98"/>
      <c r="AC132" s="91"/>
      <c r="AD132" s="98"/>
      <c r="AE132" s="98"/>
      <c r="AF132" s="98"/>
      <c r="AG132" s="91"/>
      <c r="AH132" s="304">
        <v>1</v>
      </c>
      <c r="AI132" s="299">
        <f t="shared" ref="AI132:AI136" si="357">+AH132*G132*D132*0.17</f>
        <v>3.3668949395000007</v>
      </c>
      <c r="AK132" s="301">
        <f t="shared" si="347"/>
        <v>29.693050000000003</v>
      </c>
      <c r="AL132" s="301">
        <f t="shared" si="348"/>
        <v>0</v>
      </c>
      <c r="AM132" s="301"/>
      <c r="AN132" s="301"/>
      <c r="AO132" s="299"/>
      <c r="AP132" s="301"/>
      <c r="AQ132" s="301"/>
      <c r="AT132" s="28">
        <f t="shared" si="167"/>
        <v>29.693050000000003</v>
      </c>
    </row>
    <row r="133" spans="2:46" s="28" customFormat="1" ht="20.100000000000001" customHeight="1" x14ac:dyDescent="0.3">
      <c r="B133" s="92"/>
      <c r="C133" s="95" t="s">
        <v>31</v>
      </c>
      <c r="D133" s="98">
        <v>0.66700000000000004</v>
      </c>
      <c r="E133" s="92">
        <v>1</v>
      </c>
      <c r="F133" s="92">
        <v>1</v>
      </c>
      <c r="G133" s="555">
        <f>(2.739)*3.281</f>
        <v>8.9866589999999995</v>
      </c>
      <c r="H133" s="98">
        <f t="shared" si="349"/>
        <v>0.66700000000000004</v>
      </c>
      <c r="I133" s="94">
        <v>2</v>
      </c>
      <c r="J133" s="99">
        <v>3</v>
      </c>
      <c r="K133" s="100">
        <f t="shared" si="350"/>
        <v>17.982304659</v>
      </c>
      <c r="L133" s="100">
        <f t="shared" si="351"/>
        <v>0</v>
      </c>
      <c r="M133" s="99">
        <v>4</v>
      </c>
      <c r="N133" s="100">
        <f t="shared" si="352"/>
        <v>23.976406212000001</v>
      </c>
      <c r="O133" s="100">
        <f t="shared" si="353"/>
        <v>0</v>
      </c>
      <c r="P133" s="81">
        <f>11.833-I133-M133-J133</f>
        <v>2.8330000000000002</v>
      </c>
      <c r="Q133" s="100">
        <f t="shared" si="354"/>
        <v>16.981289699649</v>
      </c>
      <c r="R133" s="100">
        <f t="shared" si="355"/>
        <v>0</v>
      </c>
      <c r="S133" s="101">
        <f t="shared" si="356"/>
        <v>58.940000570648998</v>
      </c>
      <c r="T133" s="101">
        <f t="shared" si="356"/>
        <v>0</v>
      </c>
      <c r="U133" s="92"/>
      <c r="V133" s="91"/>
      <c r="W133" s="102"/>
      <c r="X133" s="98"/>
      <c r="Y133" s="102"/>
      <c r="Z133" s="98"/>
      <c r="AA133" s="98"/>
      <c r="AB133" s="98"/>
      <c r="AC133" s="91"/>
      <c r="AD133" s="98"/>
      <c r="AE133" s="98"/>
      <c r="AF133" s="98"/>
      <c r="AG133" s="91"/>
      <c r="AH133" s="304">
        <v>1</v>
      </c>
      <c r="AI133" s="299">
        <f t="shared" si="357"/>
        <v>1.01899726401</v>
      </c>
      <c r="AK133" s="301">
        <f t="shared" si="347"/>
        <v>8.9866589999999995</v>
      </c>
      <c r="AL133" s="301">
        <f t="shared" si="348"/>
        <v>0</v>
      </c>
      <c r="AM133" s="301"/>
      <c r="AN133" s="301"/>
      <c r="AO133" s="299"/>
      <c r="AP133" s="301"/>
      <c r="AQ133" s="301"/>
      <c r="AT133" s="28">
        <f t="shared" si="167"/>
        <v>8.9866589999999995</v>
      </c>
    </row>
    <row r="134" spans="2:46" s="28" customFormat="1" ht="20.100000000000001" customHeight="1" x14ac:dyDescent="0.3">
      <c r="B134" s="92"/>
      <c r="C134" s="95" t="s">
        <v>335</v>
      </c>
      <c r="D134" s="98">
        <v>0.66700000000000004</v>
      </c>
      <c r="E134" s="92">
        <v>-1</v>
      </c>
      <c r="F134" s="92">
        <v>1</v>
      </c>
      <c r="G134" s="555">
        <f>3.5+3.5</f>
        <v>7</v>
      </c>
      <c r="H134" s="98">
        <f t="shared" si="349"/>
        <v>0.66700000000000004</v>
      </c>
      <c r="I134" s="102"/>
      <c r="J134" s="99">
        <v>3</v>
      </c>
      <c r="K134" s="100">
        <f t="shared" si="350"/>
        <v>-14.007000000000001</v>
      </c>
      <c r="L134" s="100">
        <f t="shared" si="351"/>
        <v>0</v>
      </c>
      <c r="M134" s="99">
        <v>4</v>
      </c>
      <c r="N134" s="100">
        <f t="shared" si="352"/>
        <v>-18.676000000000002</v>
      </c>
      <c r="O134" s="100">
        <f t="shared" si="353"/>
        <v>0</v>
      </c>
      <c r="P134" s="99">
        <v>0.5</v>
      </c>
      <c r="Q134" s="100">
        <f t="shared" si="354"/>
        <v>-2.3345000000000002</v>
      </c>
      <c r="R134" s="100">
        <f t="shared" si="355"/>
        <v>0</v>
      </c>
      <c r="S134" s="101">
        <f t="shared" si="356"/>
        <v>-35.017499999999998</v>
      </c>
      <c r="T134" s="101">
        <f t="shared" si="356"/>
        <v>0</v>
      </c>
      <c r="U134" s="92"/>
      <c r="V134" s="91"/>
      <c r="W134" s="98">
        <f>+G134+D134*2</f>
        <v>8.3339999999999996</v>
      </c>
      <c r="X134" s="98">
        <v>0.5</v>
      </c>
      <c r="Y134" s="98">
        <f>+IF(D134=0.667,-E134*F134*H134*W134*X134,0)</f>
        <v>2.7793890000000001</v>
      </c>
      <c r="Z134" s="98">
        <f>+IF(D134=0.333,-E134*F134*H134*W134*X134,0)</f>
        <v>0</v>
      </c>
      <c r="AA134" s="98">
        <f>+F134*G134*H134</f>
        <v>4.6690000000000005</v>
      </c>
      <c r="AB134" s="98">
        <f t="shared" ref="AB134" si="358">2*F134*W134*X134</f>
        <v>8.3339999999999996</v>
      </c>
      <c r="AC134" s="91"/>
      <c r="AD134" s="98"/>
      <c r="AE134" s="98">
        <f>+IF(D134=0.667,AD134*W134*H134*F134,0)</f>
        <v>0</v>
      </c>
      <c r="AF134" s="98">
        <f>+IF(D134=0.333,AD134*W134*H134*F134,0)</f>
        <v>0</v>
      </c>
      <c r="AG134" s="91"/>
      <c r="AH134" s="304"/>
      <c r="AI134" s="299">
        <f t="shared" si="357"/>
        <v>0</v>
      </c>
      <c r="AK134" s="301">
        <f t="shared" si="347"/>
        <v>-7</v>
      </c>
      <c r="AL134" s="301">
        <f t="shared" si="348"/>
        <v>0</v>
      </c>
      <c r="AM134" s="301">
        <f>+IF(D134=0.667,1.33,0)</f>
        <v>1.33</v>
      </c>
      <c r="AN134" s="301"/>
      <c r="AO134" s="299"/>
      <c r="AP134" s="301"/>
      <c r="AQ134" s="301"/>
      <c r="AT134" s="28">
        <f t="shared" si="167"/>
        <v>-7</v>
      </c>
    </row>
    <row r="135" spans="2:46" s="28" customFormat="1" ht="20.100000000000001" customHeight="1" x14ac:dyDescent="0.3">
      <c r="B135" s="92"/>
      <c r="C135" s="95" t="s">
        <v>38</v>
      </c>
      <c r="D135" s="98">
        <v>0.66700000000000004</v>
      </c>
      <c r="E135" s="92">
        <v>1</v>
      </c>
      <c r="F135" s="92">
        <v>1</v>
      </c>
      <c r="G135" s="555">
        <f>(3.067)*3.281</f>
        <v>10.062827</v>
      </c>
      <c r="H135" s="98">
        <f t="shared" si="349"/>
        <v>0.66700000000000004</v>
      </c>
      <c r="I135" s="94">
        <v>2</v>
      </c>
      <c r="J135" s="99">
        <v>3</v>
      </c>
      <c r="K135" s="100">
        <f t="shared" si="350"/>
        <v>20.135716827000003</v>
      </c>
      <c r="L135" s="100">
        <f t="shared" si="351"/>
        <v>0</v>
      </c>
      <c r="M135" s="99">
        <v>4</v>
      </c>
      <c r="N135" s="100">
        <f t="shared" si="352"/>
        <v>26.847622436000002</v>
      </c>
      <c r="O135" s="100">
        <f t="shared" si="353"/>
        <v>0</v>
      </c>
      <c r="P135" s="81">
        <f>11.833-I135-M135-J135</f>
        <v>2.8330000000000002</v>
      </c>
      <c r="Q135" s="100">
        <f t="shared" si="354"/>
        <v>19.014828590297004</v>
      </c>
      <c r="R135" s="100">
        <f t="shared" si="355"/>
        <v>0</v>
      </c>
      <c r="S135" s="101">
        <f t="shared" si="356"/>
        <v>65.998167853297019</v>
      </c>
      <c r="T135" s="101">
        <f t="shared" si="356"/>
        <v>0</v>
      </c>
      <c r="U135" s="92"/>
      <c r="V135" s="91"/>
      <c r="W135" s="102"/>
      <c r="X135" s="98"/>
      <c r="Y135" s="102"/>
      <c r="Z135" s="98"/>
      <c r="AA135" s="98"/>
      <c r="AB135" s="98"/>
      <c r="AC135" s="91"/>
      <c r="AD135" s="98"/>
      <c r="AE135" s="98"/>
      <c r="AF135" s="98"/>
      <c r="AG135" s="91"/>
      <c r="AH135" s="304">
        <v>1</v>
      </c>
      <c r="AI135" s="299">
        <f t="shared" si="357"/>
        <v>1.1410239535300002</v>
      </c>
      <c r="AK135" s="301">
        <f t="shared" si="347"/>
        <v>10.062827</v>
      </c>
      <c r="AL135" s="301">
        <f t="shared" si="348"/>
        <v>0</v>
      </c>
      <c r="AM135" s="301"/>
      <c r="AN135" s="301"/>
      <c r="AO135" s="299"/>
      <c r="AP135" s="301"/>
      <c r="AQ135" s="301"/>
      <c r="AT135" s="28">
        <f t="shared" si="167"/>
        <v>10.062827</v>
      </c>
    </row>
    <row r="136" spans="2:46" s="28" customFormat="1" ht="20.100000000000001" customHeight="1" x14ac:dyDescent="0.3">
      <c r="B136" s="92"/>
      <c r="C136" s="95" t="s">
        <v>335</v>
      </c>
      <c r="D136" s="98">
        <v>0.66700000000000004</v>
      </c>
      <c r="E136" s="92">
        <v>-1</v>
      </c>
      <c r="F136" s="92">
        <v>1</v>
      </c>
      <c r="G136" s="555">
        <f>3.5+3.5</f>
        <v>7</v>
      </c>
      <c r="H136" s="98">
        <f t="shared" si="349"/>
        <v>0.66700000000000004</v>
      </c>
      <c r="I136" s="102"/>
      <c r="J136" s="99">
        <v>3</v>
      </c>
      <c r="K136" s="100">
        <f t="shared" si="350"/>
        <v>-14.007000000000001</v>
      </c>
      <c r="L136" s="100">
        <f t="shared" si="351"/>
        <v>0</v>
      </c>
      <c r="M136" s="99">
        <v>4</v>
      </c>
      <c r="N136" s="100">
        <f t="shared" si="352"/>
        <v>-18.676000000000002</v>
      </c>
      <c r="O136" s="100">
        <f t="shared" si="353"/>
        <v>0</v>
      </c>
      <c r="P136" s="99">
        <v>0.5</v>
      </c>
      <c r="Q136" s="100">
        <f t="shared" si="354"/>
        <v>-2.3345000000000002</v>
      </c>
      <c r="R136" s="100">
        <f t="shared" si="355"/>
        <v>0</v>
      </c>
      <c r="S136" s="101">
        <f t="shared" si="356"/>
        <v>-35.017499999999998</v>
      </c>
      <c r="T136" s="101">
        <f t="shared" si="356"/>
        <v>0</v>
      </c>
      <c r="U136" s="92"/>
      <c r="V136" s="91"/>
      <c r="W136" s="98">
        <f>+G136+D136*2</f>
        <v>8.3339999999999996</v>
      </c>
      <c r="X136" s="98">
        <v>0.5</v>
      </c>
      <c r="Y136" s="98">
        <f>+IF(D136=0.667,-E136*F136*H136*W136*X136,0)</f>
        <v>2.7793890000000001</v>
      </c>
      <c r="Z136" s="98">
        <f>+IF(D136=0.333,-E136*F136*H136*W136*X136,0)</f>
        <v>0</v>
      </c>
      <c r="AA136" s="98">
        <f>+F136*G136*H136</f>
        <v>4.6690000000000005</v>
      </c>
      <c r="AB136" s="98">
        <f t="shared" ref="AB136" si="359">2*F136*W136*X136</f>
        <v>8.3339999999999996</v>
      </c>
      <c r="AC136" s="91"/>
      <c r="AD136" s="98"/>
      <c r="AE136" s="98">
        <f>+IF(D136=0.667,AD136*W136*H136*F136,0)</f>
        <v>0</v>
      </c>
      <c r="AF136" s="98">
        <f>+IF(D136=0.333,AD136*W136*H136*F136,0)</f>
        <v>0</v>
      </c>
      <c r="AG136" s="91"/>
      <c r="AH136" s="304"/>
      <c r="AI136" s="299">
        <f t="shared" si="357"/>
        <v>0</v>
      </c>
      <c r="AK136" s="301">
        <f t="shared" si="347"/>
        <v>-7</v>
      </c>
      <c r="AL136" s="301">
        <f t="shared" si="348"/>
        <v>0</v>
      </c>
      <c r="AM136" s="301">
        <f>+IF(D136=0.667,1.33,0)</f>
        <v>1.33</v>
      </c>
      <c r="AN136" s="301"/>
      <c r="AO136" s="299"/>
      <c r="AP136" s="301"/>
      <c r="AQ136" s="301"/>
      <c r="AT136" s="28">
        <f t="shared" ref="AT136:AT199" si="360">+E136*F136*G136</f>
        <v>-7</v>
      </c>
    </row>
    <row r="137" spans="2:46" s="28" customFormat="1" ht="20.100000000000001" customHeight="1" x14ac:dyDescent="0.3">
      <c r="B137" s="92"/>
      <c r="C137" s="96"/>
      <c r="D137" s="92"/>
      <c r="E137" s="92"/>
      <c r="F137" s="92"/>
      <c r="G137" s="92"/>
      <c r="H137" s="92"/>
      <c r="I137" s="94"/>
      <c r="J137" s="92"/>
      <c r="K137" s="92"/>
      <c r="L137" s="92"/>
      <c r="M137" s="92"/>
      <c r="N137" s="92"/>
      <c r="O137" s="92"/>
      <c r="P137" s="92"/>
      <c r="Q137" s="92"/>
      <c r="R137" s="92"/>
      <c r="S137" s="92"/>
      <c r="T137" s="92"/>
      <c r="U137" s="92"/>
      <c r="V137" s="95"/>
      <c r="W137" s="92"/>
      <c r="X137" s="92"/>
      <c r="Y137" s="92"/>
      <c r="Z137" s="92"/>
      <c r="AA137" s="92"/>
      <c r="AB137" s="92"/>
      <c r="AC137" s="95"/>
      <c r="AD137" s="92"/>
      <c r="AE137" s="92"/>
      <c r="AF137" s="92"/>
      <c r="AG137" s="95"/>
      <c r="AH137" s="305"/>
      <c r="AI137" s="306"/>
      <c r="AK137" s="301">
        <f t="shared" si="347"/>
        <v>0</v>
      </c>
      <c r="AL137" s="301">
        <f t="shared" si="348"/>
        <v>0</v>
      </c>
      <c r="AM137" s="301"/>
      <c r="AN137" s="301"/>
      <c r="AO137" s="299"/>
      <c r="AP137" s="301"/>
      <c r="AQ137" s="301"/>
      <c r="AT137" s="28">
        <f t="shared" si="360"/>
        <v>0</v>
      </c>
    </row>
    <row r="138" spans="2:46" s="28" customFormat="1" ht="20.100000000000001" customHeight="1" x14ac:dyDescent="0.3">
      <c r="B138" s="92"/>
      <c r="C138" s="97" t="s">
        <v>330</v>
      </c>
      <c r="D138" s="98"/>
      <c r="E138" s="92"/>
      <c r="F138" s="92"/>
      <c r="G138" s="98"/>
      <c r="H138" s="98"/>
      <c r="I138" s="94"/>
      <c r="J138" s="92"/>
      <c r="K138" s="92"/>
      <c r="L138" s="92"/>
      <c r="M138" s="92"/>
      <c r="N138" s="92"/>
      <c r="O138" s="92"/>
      <c r="P138" s="92"/>
      <c r="Q138" s="92"/>
      <c r="R138" s="92"/>
      <c r="S138" s="92"/>
      <c r="T138" s="92"/>
      <c r="U138" s="92"/>
      <c r="V138" s="91"/>
      <c r="W138" s="102"/>
      <c r="X138" s="98"/>
      <c r="Y138" s="102"/>
      <c r="Z138" s="98"/>
      <c r="AA138" s="98"/>
      <c r="AB138" s="98"/>
      <c r="AC138" s="91"/>
      <c r="AD138" s="98"/>
      <c r="AE138" s="98"/>
      <c r="AF138" s="98"/>
      <c r="AG138" s="91"/>
      <c r="AH138" s="304"/>
      <c r="AI138" s="299"/>
      <c r="AK138" s="301">
        <f t="shared" si="347"/>
        <v>0</v>
      </c>
      <c r="AL138" s="301">
        <f t="shared" si="348"/>
        <v>0</v>
      </c>
      <c r="AM138" s="301">
        <v>0</v>
      </c>
      <c r="AN138" s="301"/>
      <c r="AO138" s="299"/>
      <c r="AP138" s="301"/>
      <c r="AQ138" s="301"/>
      <c r="AT138" s="28">
        <f t="shared" si="360"/>
        <v>0</v>
      </c>
    </row>
    <row r="139" spans="2:46" s="28" customFormat="1" ht="20.100000000000001" customHeight="1" x14ac:dyDescent="0.3">
      <c r="B139" s="92"/>
      <c r="C139" s="95" t="s">
        <v>31</v>
      </c>
      <c r="D139" s="98">
        <v>0.66700000000000004</v>
      </c>
      <c r="E139" s="92">
        <v>1</v>
      </c>
      <c r="F139" s="92">
        <v>1</v>
      </c>
      <c r="G139" s="555">
        <f>(3.563)*3.281</f>
        <v>11.690203</v>
      </c>
      <c r="H139" s="98">
        <f>+D139</f>
        <v>0.66700000000000004</v>
      </c>
      <c r="I139" s="94">
        <v>2</v>
      </c>
      <c r="J139" s="99">
        <v>3</v>
      </c>
      <c r="K139" s="100">
        <f>+IF(D139=0.667,E139*F139*G139*H139*J139,0)</f>
        <v>23.392096203000001</v>
      </c>
      <c r="L139" s="100">
        <f>+IF(D139=0.333,E139*F139*G139*J139,0)</f>
        <v>0</v>
      </c>
      <c r="M139" s="99">
        <v>4</v>
      </c>
      <c r="N139" s="100">
        <f>+IF(D139=0.667,E139*F139*G139*H139*M139,0)</f>
        <v>31.189461604000002</v>
      </c>
      <c r="O139" s="100">
        <f>+IF(D139=0.333,E139*F139*G139*M139,0)</f>
        <v>0</v>
      </c>
      <c r="P139" s="81">
        <f t="shared" ref="P139:P141" si="361">11.833-I139-M139-J139</f>
        <v>2.8330000000000002</v>
      </c>
      <c r="Q139" s="100">
        <f>+IF(D139=0.667,E139*F139*G139*H139*P139,0)</f>
        <v>22.089936181033003</v>
      </c>
      <c r="R139" s="100">
        <f>+IF(D139=0.333,E139*F139*G139*P139,0)</f>
        <v>0</v>
      </c>
      <c r="S139" s="101">
        <f t="shared" ref="S139:T142" si="362">+Q139+N139+K139</f>
        <v>76.671493988033006</v>
      </c>
      <c r="T139" s="101">
        <f t="shared" si="362"/>
        <v>0</v>
      </c>
      <c r="U139" s="92"/>
      <c r="V139" s="91"/>
      <c r="W139" s="102"/>
      <c r="X139" s="98"/>
      <c r="Y139" s="102"/>
      <c r="Z139" s="98"/>
      <c r="AA139" s="98"/>
      <c r="AB139" s="98"/>
      <c r="AC139" s="91"/>
      <c r="AD139" s="98"/>
      <c r="AE139" s="98"/>
      <c r="AF139" s="98"/>
      <c r="AG139" s="91"/>
      <c r="AH139" s="304">
        <v>1</v>
      </c>
      <c r="AI139" s="299">
        <f>+AH139*G139*D139*0.17</f>
        <v>1.3255521181700001</v>
      </c>
      <c r="AK139" s="301">
        <f t="shared" si="347"/>
        <v>11.690203</v>
      </c>
      <c r="AL139" s="301">
        <f t="shared" si="348"/>
        <v>0</v>
      </c>
      <c r="AM139" s="301"/>
      <c r="AN139" s="301"/>
      <c r="AO139" s="299"/>
      <c r="AP139" s="301"/>
      <c r="AQ139" s="301"/>
      <c r="AT139" s="28">
        <f t="shared" si="360"/>
        <v>11.690203</v>
      </c>
    </row>
    <row r="140" spans="2:46" s="28" customFormat="1" ht="20.100000000000001" customHeight="1" x14ac:dyDescent="0.3">
      <c r="B140" s="92"/>
      <c r="C140" s="95" t="s">
        <v>38</v>
      </c>
      <c r="D140" s="98">
        <v>0.66700000000000004</v>
      </c>
      <c r="E140" s="92">
        <v>1</v>
      </c>
      <c r="F140" s="92">
        <v>1</v>
      </c>
      <c r="G140" s="555">
        <f>(3.334)*3.281</f>
        <v>10.938854000000001</v>
      </c>
      <c r="H140" s="98">
        <f>+D140</f>
        <v>0.66700000000000004</v>
      </c>
      <c r="I140" s="94">
        <v>2</v>
      </c>
      <c r="J140" s="99">
        <v>3</v>
      </c>
      <c r="K140" s="100">
        <f>+IF(D140=0.667,E140*F140*G140*H140*J140,0)</f>
        <v>21.888646854000001</v>
      </c>
      <c r="L140" s="100">
        <f>+IF(D140=0.333,E140*F140*G140*J140,0)</f>
        <v>0</v>
      </c>
      <c r="M140" s="99">
        <v>4</v>
      </c>
      <c r="N140" s="100">
        <f>+IF(D140=0.667,E140*F140*G140*H140*M140,0)</f>
        <v>29.184862472000002</v>
      </c>
      <c r="O140" s="100">
        <f>+IF(D140=0.333,E140*F140*G140*M140,0)</f>
        <v>0</v>
      </c>
      <c r="P140" s="81">
        <f t="shared" si="361"/>
        <v>2.8330000000000002</v>
      </c>
      <c r="Q140" s="100">
        <f>+IF(D140=0.667,E140*F140*G140*H140*P140,0)</f>
        <v>20.670178845794002</v>
      </c>
      <c r="R140" s="100">
        <f>+IF(D140=0.333,E140*F140*G140*P140,0)</f>
        <v>0</v>
      </c>
      <c r="S140" s="101">
        <f t="shared" si="362"/>
        <v>71.743688171794005</v>
      </c>
      <c r="T140" s="101">
        <f t="shared" si="362"/>
        <v>0</v>
      </c>
      <c r="U140" s="92"/>
      <c r="V140" s="91"/>
      <c r="W140" s="102"/>
      <c r="X140" s="98"/>
      <c r="Y140" s="102"/>
      <c r="Z140" s="98"/>
      <c r="AA140" s="98"/>
      <c r="AB140" s="98"/>
      <c r="AC140" s="91"/>
      <c r="AD140" s="98"/>
      <c r="AE140" s="98"/>
      <c r="AF140" s="98"/>
      <c r="AG140" s="91"/>
      <c r="AH140" s="304">
        <v>1</v>
      </c>
      <c r="AI140" s="299">
        <f>+AH140*G140*D140*0.17</f>
        <v>1.2403566550600003</v>
      </c>
      <c r="AK140" s="301">
        <f t="shared" si="347"/>
        <v>10.938854000000001</v>
      </c>
      <c r="AL140" s="301">
        <f t="shared" si="348"/>
        <v>0</v>
      </c>
      <c r="AM140" s="301"/>
      <c r="AN140" s="301"/>
      <c r="AO140" s="299"/>
      <c r="AP140" s="301"/>
      <c r="AQ140" s="301"/>
      <c r="AT140" s="28">
        <f t="shared" si="360"/>
        <v>10.938854000000001</v>
      </c>
    </row>
    <row r="141" spans="2:46" s="28" customFormat="1" ht="20.100000000000001" customHeight="1" x14ac:dyDescent="0.3">
      <c r="B141" s="92"/>
      <c r="C141" s="95" t="s">
        <v>32</v>
      </c>
      <c r="D141" s="98">
        <v>0.66700000000000004</v>
      </c>
      <c r="E141" s="92">
        <v>1</v>
      </c>
      <c r="F141" s="92">
        <v>1</v>
      </c>
      <c r="G141" s="555">
        <f>(2.97)*3.281</f>
        <v>9.7445700000000013</v>
      </c>
      <c r="H141" s="98">
        <f>+D141</f>
        <v>0.66700000000000004</v>
      </c>
      <c r="I141" s="94">
        <v>2</v>
      </c>
      <c r="J141" s="99">
        <v>3</v>
      </c>
      <c r="K141" s="100">
        <f>+IF(D141=0.667,E141*F141*G141*H141*J141,0)</f>
        <v>19.498884570000001</v>
      </c>
      <c r="L141" s="100">
        <f>+IF(D141=0.333,E141*F141*G141*J141,0)</f>
        <v>0</v>
      </c>
      <c r="M141" s="99">
        <v>4</v>
      </c>
      <c r="N141" s="100">
        <f>+IF(D141=0.667,E141*F141*G141*H141*M141,0)</f>
        <v>25.998512760000004</v>
      </c>
      <c r="O141" s="100">
        <f>+IF(D141=0.333,E141*F141*G141*M141,0)</f>
        <v>0</v>
      </c>
      <c r="P141" s="81">
        <f t="shared" si="361"/>
        <v>2.8330000000000002</v>
      </c>
      <c r="Q141" s="100">
        <f>+IF(D141=0.667,E141*F141*G141*H141*P141,0)</f>
        <v>18.413446662270005</v>
      </c>
      <c r="R141" s="100">
        <f>+IF(D141=0.333,E141*F141*G141*P141,0)</f>
        <v>0</v>
      </c>
      <c r="S141" s="101">
        <f t="shared" si="362"/>
        <v>63.91084399227001</v>
      </c>
      <c r="T141" s="101">
        <f t="shared" si="362"/>
        <v>0</v>
      </c>
      <c r="U141" s="92"/>
      <c r="V141" s="91"/>
      <c r="W141" s="102"/>
      <c r="X141" s="98"/>
      <c r="Y141" s="102"/>
      <c r="Z141" s="98"/>
      <c r="AA141" s="98"/>
      <c r="AB141" s="98"/>
      <c r="AC141" s="91"/>
      <c r="AD141" s="98"/>
      <c r="AE141" s="98"/>
      <c r="AF141" s="98"/>
      <c r="AG141" s="91"/>
      <c r="AH141" s="304">
        <v>1</v>
      </c>
      <c r="AI141" s="299">
        <f>+AH141*G141*D141*0.17</f>
        <v>1.1049367923000002</v>
      </c>
      <c r="AK141" s="301">
        <f t="shared" si="347"/>
        <v>9.7445700000000013</v>
      </c>
      <c r="AL141" s="301">
        <f t="shared" si="348"/>
        <v>0</v>
      </c>
      <c r="AM141" s="301"/>
      <c r="AN141" s="301"/>
      <c r="AO141" s="299"/>
      <c r="AP141" s="301"/>
      <c r="AQ141" s="301"/>
      <c r="AT141" s="28">
        <f t="shared" si="360"/>
        <v>9.7445700000000013</v>
      </c>
    </row>
    <row r="142" spans="2:46" s="28" customFormat="1" ht="20.100000000000001" customHeight="1" x14ac:dyDescent="0.3">
      <c r="B142" s="92"/>
      <c r="C142" s="95" t="s">
        <v>570</v>
      </c>
      <c r="D142" s="98">
        <v>0.66700000000000004</v>
      </c>
      <c r="E142" s="92">
        <v>-1</v>
      </c>
      <c r="F142" s="92">
        <v>1</v>
      </c>
      <c r="G142" s="555">
        <v>6</v>
      </c>
      <c r="H142" s="98">
        <f t="shared" ref="H142" si="363">+D142</f>
        <v>0.66700000000000004</v>
      </c>
      <c r="I142" s="102"/>
      <c r="J142" s="99">
        <v>0</v>
      </c>
      <c r="K142" s="100">
        <f t="shared" ref="K142" si="364">+IF(D142=0.667,E142*F142*G142*H142*J142,0)</f>
        <v>0</v>
      </c>
      <c r="L142" s="100">
        <f t="shared" ref="L142" si="365">+IF(D142=0.333,E142*F142*G142*J142,0)</f>
        <v>0</v>
      </c>
      <c r="M142" s="99">
        <v>4</v>
      </c>
      <c r="N142" s="100">
        <f t="shared" ref="N142" si="366">+IF(D142=0.667,E142*F142*G142*H142*M142,0)</f>
        <v>-16.008000000000003</v>
      </c>
      <c r="O142" s="100">
        <f t="shared" ref="O142" si="367">+IF(D142=0.333,E142*F142*G142*M142,0)</f>
        <v>0</v>
      </c>
      <c r="P142" s="590">
        <v>0</v>
      </c>
      <c r="Q142" s="100">
        <f t="shared" ref="Q142" si="368">+IF(D142=0.667,E142*F142*G142*H142*P142,0)</f>
        <v>0</v>
      </c>
      <c r="R142" s="100">
        <f t="shared" ref="R142" si="369">+IF(D142=0.333,E142*F142*G142*P142,0)</f>
        <v>0</v>
      </c>
      <c r="S142" s="101">
        <f t="shared" si="362"/>
        <v>-16.008000000000003</v>
      </c>
      <c r="T142" s="101">
        <f t="shared" si="362"/>
        <v>0</v>
      </c>
      <c r="U142" s="92"/>
      <c r="V142" s="91"/>
      <c r="W142" s="98">
        <f>+G142+D142*2</f>
        <v>7.3339999999999996</v>
      </c>
      <c r="X142" s="98">
        <v>0.5</v>
      </c>
      <c r="Y142" s="98">
        <f>+IF(D142=0.667,-E142*F142*H142*W142*X142,0)</f>
        <v>2.4458890000000002</v>
      </c>
      <c r="Z142" s="98">
        <f>+IF(D142=0.333,-E142*F142*H142*W142*X142,0)</f>
        <v>0</v>
      </c>
      <c r="AA142" s="98">
        <f>+F142*G142*H142</f>
        <v>4.0020000000000007</v>
      </c>
      <c r="AB142" s="98">
        <f t="shared" ref="AB142" si="370">2*F142*W142*X142</f>
        <v>7.3339999999999996</v>
      </c>
      <c r="AC142" s="91"/>
      <c r="AD142" s="98"/>
      <c r="AE142" s="98">
        <f>+IF(D142=0.667,AD142*W142*H142*F142,0)</f>
        <v>0</v>
      </c>
      <c r="AF142" s="98">
        <f>+IF(D142=0.333,AD142*W142*H142*F142,0)</f>
        <v>0</v>
      </c>
      <c r="AG142" s="91"/>
      <c r="AH142" s="304"/>
      <c r="AI142" s="299">
        <f t="shared" ref="AI142" si="371">+AH142*G142*D142*0.17</f>
        <v>0</v>
      </c>
      <c r="AK142" s="301">
        <f t="shared" si="347"/>
        <v>-6</v>
      </c>
      <c r="AL142" s="301">
        <f t="shared" si="348"/>
        <v>0</v>
      </c>
      <c r="AM142" s="301">
        <f>+IF(D142=0.667,1.33,0)</f>
        <v>1.33</v>
      </c>
      <c r="AN142" s="301"/>
      <c r="AO142" s="299"/>
      <c r="AP142" s="301"/>
      <c r="AQ142" s="301"/>
      <c r="AT142" s="28">
        <f t="shared" si="360"/>
        <v>-6</v>
      </c>
    </row>
    <row r="143" spans="2:46" s="28" customFormat="1" ht="20.100000000000001" customHeight="1" x14ac:dyDescent="0.3">
      <c r="B143" s="92"/>
      <c r="C143" s="96"/>
      <c r="D143" s="92"/>
      <c r="E143" s="92"/>
      <c r="F143" s="92"/>
      <c r="G143" s="92"/>
      <c r="H143" s="92"/>
      <c r="I143" s="94"/>
      <c r="J143" s="92"/>
      <c r="K143" s="92"/>
      <c r="L143" s="92"/>
      <c r="M143" s="92"/>
      <c r="N143" s="92"/>
      <c r="O143" s="92"/>
      <c r="P143" s="92"/>
      <c r="Q143" s="92"/>
      <c r="R143" s="92"/>
      <c r="S143" s="92"/>
      <c r="T143" s="92"/>
      <c r="U143" s="92"/>
      <c r="V143" s="95"/>
      <c r="W143" s="92"/>
      <c r="X143" s="92"/>
      <c r="Y143" s="92"/>
      <c r="Z143" s="92"/>
      <c r="AA143" s="92"/>
      <c r="AB143" s="92"/>
      <c r="AC143" s="95"/>
      <c r="AD143" s="92"/>
      <c r="AE143" s="92"/>
      <c r="AF143" s="92"/>
      <c r="AG143" s="95"/>
      <c r="AH143" s="305"/>
      <c r="AI143" s="306"/>
      <c r="AK143" s="301">
        <f t="shared" ref="AK143" si="372">+IF(D143=0.667,E143*F143*G143,0)</f>
        <v>0</v>
      </c>
      <c r="AL143" s="301">
        <f t="shared" ref="AL143" si="373">+IF(D143=0.333,E143*F143*G143,0)</f>
        <v>0</v>
      </c>
      <c r="AM143" s="301"/>
      <c r="AN143" s="301"/>
      <c r="AO143" s="299"/>
      <c r="AP143" s="301"/>
      <c r="AQ143" s="301"/>
      <c r="AT143" s="28">
        <f t="shared" si="360"/>
        <v>0</v>
      </c>
    </row>
    <row r="144" spans="2:46" s="28" customFormat="1" ht="20.100000000000001" customHeight="1" x14ac:dyDescent="0.3">
      <c r="B144" s="92"/>
      <c r="C144" s="97" t="s">
        <v>331</v>
      </c>
      <c r="D144" s="98"/>
      <c r="E144" s="92"/>
      <c r="F144" s="92"/>
      <c r="G144" s="98"/>
      <c r="H144" s="98"/>
      <c r="I144" s="94"/>
      <c r="J144" s="92"/>
      <c r="K144" s="92"/>
      <c r="L144" s="92"/>
      <c r="M144" s="92"/>
      <c r="N144" s="92"/>
      <c r="O144" s="92"/>
      <c r="P144" s="92"/>
      <c r="Q144" s="92"/>
      <c r="R144" s="92"/>
      <c r="S144" s="92"/>
      <c r="T144" s="92"/>
      <c r="U144" s="92"/>
      <c r="V144" s="91"/>
      <c r="W144" s="102"/>
      <c r="X144" s="98"/>
      <c r="Y144" s="102"/>
      <c r="Z144" s="98"/>
      <c r="AA144" s="98"/>
      <c r="AB144" s="98"/>
      <c r="AC144" s="91"/>
      <c r="AD144" s="98"/>
      <c r="AE144" s="98"/>
      <c r="AF144" s="98"/>
      <c r="AG144" s="91"/>
      <c r="AH144" s="304"/>
      <c r="AI144" s="299"/>
      <c r="AK144" s="301">
        <f t="shared" si="347"/>
        <v>0</v>
      </c>
      <c r="AL144" s="301">
        <f t="shared" si="348"/>
        <v>0</v>
      </c>
      <c r="AM144" s="301">
        <v>0</v>
      </c>
      <c r="AN144" s="301"/>
      <c r="AO144" s="299"/>
      <c r="AP144" s="301"/>
      <c r="AQ144" s="301"/>
      <c r="AT144" s="28">
        <f t="shared" si="360"/>
        <v>0</v>
      </c>
    </row>
    <row r="145" spans="2:46" s="28" customFormat="1" ht="20.100000000000001" customHeight="1" x14ac:dyDescent="0.3">
      <c r="B145" s="92"/>
      <c r="C145" s="95" t="s">
        <v>33</v>
      </c>
      <c r="D145" s="98">
        <v>0.66700000000000004</v>
      </c>
      <c r="E145" s="92">
        <v>1</v>
      </c>
      <c r="F145" s="92">
        <v>1</v>
      </c>
      <c r="G145" s="555">
        <f>(2.1)*3.281</f>
        <v>6.8901000000000003</v>
      </c>
      <c r="H145" s="98">
        <f>+D145</f>
        <v>0.66700000000000004</v>
      </c>
      <c r="I145" s="94">
        <v>2</v>
      </c>
      <c r="J145" s="99">
        <v>3</v>
      </c>
      <c r="K145" s="100">
        <f>+IF(D145=0.667,E145*F145*G145*H145*J145,0)</f>
        <v>13.7870901</v>
      </c>
      <c r="L145" s="100">
        <f>+IF(D145=0.333,E145*F145*G145*J145,0)</f>
        <v>0</v>
      </c>
      <c r="M145" s="99">
        <v>4</v>
      </c>
      <c r="N145" s="100">
        <f>+IF(D145=0.667,E145*F145*G145*H145*M145,0)</f>
        <v>18.382786800000002</v>
      </c>
      <c r="O145" s="100">
        <f>+IF(D145=0.333,E145*F145*G145*M145,0)</f>
        <v>0</v>
      </c>
      <c r="P145" s="81">
        <f t="shared" ref="P145:P146" si="374">11.833-I145-M145-J145</f>
        <v>2.8330000000000002</v>
      </c>
      <c r="Q145" s="100">
        <f>+IF(D145=0.667,E145*F145*G145*H145*P145,0)</f>
        <v>13.019608751100002</v>
      </c>
      <c r="R145" s="100">
        <f>+IF(D145=0.333,E145*F145*G145*P145,0)</f>
        <v>0</v>
      </c>
      <c r="S145" s="101">
        <f t="shared" ref="S145:T146" si="375">+Q145+N145+K145</f>
        <v>45.1894856511</v>
      </c>
      <c r="T145" s="101">
        <f t="shared" si="375"/>
        <v>0</v>
      </c>
      <c r="U145" s="92"/>
      <c r="V145" s="91"/>
      <c r="W145" s="102"/>
      <c r="X145" s="98"/>
      <c r="Y145" s="102"/>
      <c r="Z145" s="98"/>
      <c r="AA145" s="98"/>
      <c r="AB145" s="98"/>
      <c r="AC145" s="91"/>
      <c r="AD145" s="98"/>
      <c r="AE145" s="98"/>
      <c r="AF145" s="98"/>
      <c r="AG145" s="91"/>
      <c r="AH145" s="304">
        <v>1</v>
      </c>
      <c r="AI145" s="299">
        <f>+AH145*G145*D145*0.17</f>
        <v>0.78126843900000009</v>
      </c>
      <c r="AK145" s="301">
        <f t="shared" si="347"/>
        <v>6.8901000000000003</v>
      </c>
      <c r="AL145" s="301">
        <f t="shared" si="348"/>
        <v>0</v>
      </c>
      <c r="AM145" s="301"/>
      <c r="AN145" s="301"/>
      <c r="AO145" s="299"/>
      <c r="AP145" s="301"/>
      <c r="AQ145" s="301"/>
      <c r="AT145" s="28">
        <f t="shared" si="360"/>
        <v>6.8901000000000003</v>
      </c>
    </row>
    <row r="146" spans="2:46" s="28" customFormat="1" ht="20.100000000000001" customHeight="1" x14ac:dyDescent="0.3">
      <c r="B146" s="92"/>
      <c r="C146" s="95" t="s">
        <v>31</v>
      </c>
      <c r="D146" s="98">
        <v>0.66700000000000004</v>
      </c>
      <c r="E146" s="92">
        <v>1</v>
      </c>
      <c r="F146" s="92">
        <v>1</v>
      </c>
      <c r="G146" s="555">
        <f>(1.63+0.9)*3.281</f>
        <v>8.3009299999999993</v>
      </c>
      <c r="H146" s="98">
        <f>+D146</f>
        <v>0.66700000000000004</v>
      </c>
      <c r="I146" s="94">
        <v>2</v>
      </c>
      <c r="J146" s="99">
        <v>3</v>
      </c>
      <c r="K146" s="100">
        <f>+IF(D146=0.667,E146*F146*G146*H146*J146,0)</f>
        <v>16.610160929999999</v>
      </c>
      <c r="L146" s="100">
        <f>+IF(D146=0.333,E146*F146*G146*J146,0)</f>
        <v>0</v>
      </c>
      <c r="M146" s="99">
        <v>4</v>
      </c>
      <c r="N146" s="100">
        <f>+IF(D146=0.667,E146*F146*G146*H146*M146,0)</f>
        <v>22.146881239999999</v>
      </c>
      <c r="O146" s="100">
        <f>+IF(D146=0.333,E146*F146*G146*M146,0)</f>
        <v>0</v>
      </c>
      <c r="P146" s="81">
        <f t="shared" si="374"/>
        <v>2.8330000000000002</v>
      </c>
      <c r="Q146" s="100">
        <f>+IF(D146=0.667,E146*F146*G146*H146*P146,0)</f>
        <v>15.68552863823</v>
      </c>
      <c r="R146" s="100">
        <f>+IF(D146=0.333,E146*F146*G146*P146,0)</f>
        <v>0</v>
      </c>
      <c r="S146" s="101">
        <f t="shared" si="375"/>
        <v>54.442570808229995</v>
      </c>
      <c r="T146" s="101">
        <f t="shared" si="375"/>
        <v>0</v>
      </c>
      <c r="U146" s="92"/>
      <c r="V146" s="91"/>
      <c r="W146" s="102"/>
      <c r="X146" s="98"/>
      <c r="Y146" s="102"/>
      <c r="Z146" s="98"/>
      <c r="AA146" s="98"/>
      <c r="AB146" s="98"/>
      <c r="AC146" s="91"/>
      <c r="AD146" s="98"/>
      <c r="AE146" s="98"/>
      <c r="AF146" s="98"/>
      <c r="AG146" s="91"/>
      <c r="AH146" s="304">
        <v>1</v>
      </c>
      <c r="AI146" s="299">
        <f>+AH146*G146*D146*0.17</f>
        <v>0.94124245270000007</v>
      </c>
      <c r="AK146" s="301">
        <f t="shared" si="347"/>
        <v>8.3009299999999993</v>
      </c>
      <c r="AL146" s="301">
        <f t="shared" si="348"/>
        <v>0</v>
      </c>
      <c r="AM146" s="301"/>
      <c r="AN146" s="301"/>
      <c r="AO146" s="299"/>
      <c r="AP146" s="301"/>
      <c r="AQ146" s="301"/>
      <c r="AT146" s="28">
        <f t="shared" si="360"/>
        <v>8.3009299999999993</v>
      </c>
    </row>
    <row r="147" spans="2:46" s="28" customFormat="1" ht="20.100000000000001" customHeight="1" x14ac:dyDescent="0.3">
      <c r="B147" s="92"/>
      <c r="C147" s="95"/>
      <c r="D147" s="98"/>
      <c r="E147" s="92"/>
      <c r="F147" s="92"/>
      <c r="G147" s="98"/>
      <c r="H147" s="98"/>
      <c r="I147" s="102"/>
      <c r="J147" s="92"/>
      <c r="K147" s="92"/>
      <c r="L147" s="92"/>
      <c r="M147" s="92"/>
      <c r="N147" s="92"/>
      <c r="O147" s="92"/>
      <c r="P147" s="92"/>
      <c r="Q147" s="92"/>
      <c r="R147" s="92"/>
      <c r="S147" s="92"/>
      <c r="T147" s="92"/>
      <c r="U147" s="92"/>
      <c r="V147" s="91"/>
      <c r="W147" s="98"/>
      <c r="X147" s="98"/>
      <c r="Y147" s="98"/>
      <c r="Z147" s="98"/>
      <c r="AA147" s="98"/>
      <c r="AB147" s="98"/>
      <c r="AC147" s="91"/>
      <c r="AD147" s="98"/>
      <c r="AE147" s="98"/>
      <c r="AF147" s="98"/>
      <c r="AG147" s="91"/>
      <c r="AH147" s="300"/>
      <c r="AI147" s="301"/>
      <c r="AK147" s="301">
        <f t="shared" si="347"/>
        <v>0</v>
      </c>
      <c r="AL147" s="301">
        <f t="shared" si="348"/>
        <v>0</v>
      </c>
      <c r="AM147" s="301"/>
      <c r="AN147" s="301"/>
      <c r="AO147" s="299"/>
      <c r="AP147" s="301"/>
      <c r="AQ147" s="301"/>
      <c r="AT147" s="28">
        <f t="shared" si="360"/>
        <v>0</v>
      </c>
    </row>
    <row r="148" spans="2:46" s="28" customFormat="1" ht="20.100000000000001" customHeight="1" x14ac:dyDescent="0.3">
      <c r="B148" s="92"/>
      <c r="C148" s="97" t="s">
        <v>332</v>
      </c>
      <c r="D148" s="98"/>
      <c r="E148" s="92"/>
      <c r="F148" s="92"/>
      <c r="G148" s="98"/>
      <c r="H148" s="98"/>
      <c r="I148" s="94"/>
      <c r="J148" s="92"/>
      <c r="K148" s="92"/>
      <c r="L148" s="92"/>
      <c r="M148" s="92"/>
      <c r="N148" s="92"/>
      <c r="O148" s="92"/>
      <c r="P148" s="92"/>
      <c r="Q148" s="92"/>
      <c r="R148" s="92"/>
      <c r="S148" s="92"/>
      <c r="T148" s="92"/>
      <c r="U148" s="92"/>
      <c r="V148" s="91"/>
      <c r="W148" s="102"/>
      <c r="X148" s="98"/>
      <c r="Y148" s="102"/>
      <c r="Z148" s="98"/>
      <c r="AA148" s="98"/>
      <c r="AB148" s="98"/>
      <c r="AC148" s="91"/>
      <c r="AD148" s="98"/>
      <c r="AE148" s="98"/>
      <c r="AF148" s="98"/>
      <c r="AG148" s="91"/>
      <c r="AH148" s="305"/>
      <c r="AI148" s="299"/>
      <c r="AK148" s="301">
        <f t="shared" si="347"/>
        <v>0</v>
      </c>
      <c r="AL148" s="301">
        <f t="shared" si="348"/>
        <v>0</v>
      </c>
      <c r="AM148" s="301"/>
      <c r="AN148" s="301">
        <f>+IF(D148=0.333,1.33,0)</f>
        <v>0</v>
      </c>
      <c r="AO148" s="299"/>
      <c r="AP148" s="301"/>
      <c r="AQ148" s="301"/>
      <c r="AT148" s="28">
        <f t="shared" si="360"/>
        <v>0</v>
      </c>
    </row>
    <row r="149" spans="2:46" s="28" customFormat="1" ht="20.100000000000001" customHeight="1" x14ac:dyDescent="0.3">
      <c r="B149" s="92"/>
      <c r="C149" s="95" t="s">
        <v>33</v>
      </c>
      <c r="D149" s="98">
        <v>0.66700000000000004</v>
      </c>
      <c r="E149" s="92">
        <v>1</v>
      </c>
      <c r="F149" s="92">
        <v>1</v>
      </c>
      <c r="G149" s="555">
        <f>+(2.14*3.281)</f>
        <v>7.0213400000000004</v>
      </c>
      <c r="H149" s="98">
        <f>+D149</f>
        <v>0.66700000000000004</v>
      </c>
      <c r="I149" s="94">
        <v>2</v>
      </c>
      <c r="J149" s="99">
        <v>3</v>
      </c>
      <c r="K149" s="100">
        <f>+IF(D149=0.667,E149*F149*G149*H149*J149,0)</f>
        <v>14.04970134</v>
      </c>
      <c r="L149" s="100">
        <f>+IF(D149=0.333,E149*F149*G149*J149,0)</f>
        <v>0</v>
      </c>
      <c r="M149" s="99">
        <v>4</v>
      </c>
      <c r="N149" s="100">
        <f>+IF(D149=0.667,E149*F149*G149*H149*M149,0)</f>
        <v>18.73293512</v>
      </c>
      <c r="O149" s="100">
        <f>+IF(D149=0.333,E149*F149*G149*M149,0)</f>
        <v>0</v>
      </c>
      <c r="P149" s="81">
        <f>11.833-I149-M149-J149</f>
        <v>2.8330000000000002</v>
      </c>
      <c r="Q149" s="100">
        <f>+IF(D149=0.667,E149*F149*G149*H149*P149,0)</f>
        <v>13.267601298740001</v>
      </c>
      <c r="R149" s="100">
        <f>+IF(D149=0.333,E149*F149*G149*P149,0)</f>
        <v>0</v>
      </c>
      <c r="S149" s="101">
        <f t="shared" ref="S149:T152" si="376">+Q149+N149+K149</f>
        <v>46.050237758739996</v>
      </c>
      <c r="T149" s="101">
        <f t="shared" si="376"/>
        <v>0</v>
      </c>
      <c r="U149" s="92"/>
      <c r="V149" s="91"/>
      <c r="W149" s="102"/>
      <c r="X149" s="98"/>
      <c r="Y149" s="102"/>
      <c r="Z149" s="98"/>
      <c r="AA149" s="98"/>
      <c r="AB149" s="98"/>
      <c r="AC149" s="91"/>
      <c r="AD149" s="98"/>
      <c r="AE149" s="98"/>
      <c r="AF149" s="98"/>
      <c r="AG149" s="91"/>
      <c r="AH149" s="305">
        <v>1</v>
      </c>
      <c r="AI149" s="299">
        <f>+AH149*G149*D149*0.17</f>
        <v>0.79614974260000004</v>
      </c>
      <c r="AK149" s="301">
        <f t="shared" si="347"/>
        <v>7.0213400000000004</v>
      </c>
      <c r="AL149" s="301">
        <f t="shared" si="348"/>
        <v>0</v>
      </c>
      <c r="AM149" s="301"/>
      <c r="AN149" s="301">
        <f>+IF(D149=0.333,1.33,0)</f>
        <v>0</v>
      </c>
      <c r="AO149" s="299"/>
      <c r="AP149" s="301">
        <f>+S149</f>
        <v>46.050237758739996</v>
      </c>
      <c r="AQ149" s="301"/>
      <c r="AT149" s="28">
        <f t="shared" si="360"/>
        <v>7.0213400000000004</v>
      </c>
    </row>
    <row r="150" spans="2:46" s="28" customFormat="1" ht="20.100000000000001" customHeight="1" x14ac:dyDescent="0.3">
      <c r="B150" s="18"/>
      <c r="C150" s="62" t="s">
        <v>130</v>
      </c>
      <c r="D150" s="98">
        <v>0.66700000000000004</v>
      </c>
      <c r="E150" s="18">
        <v>-1</v>
      </c>
      <c r="F150" s="18">
        <v>1</v>
      </c>
      <c r="G150" s="556">
        <v>3</v>
      </c>
      <c r="H150" s="20">
        <f t="shared" ref="H150" si="377">+D150</f>
        <v>0.66700000000000004</v>
      </c>
      <c r="I150" s="21"/>
      <c r="J150" s="22">
        <v>3</v>
      </c>
      <c r="K150" s="103">
        <f t="shared" ref="K150" si="378">+IF(D150=0.667,E150*F150*G150*H150*J150,0)</f>
        <v>-6.003000000000001</v>
      </c>
      <c r="L150" s="103">
        <f t="shared" ref="L150" si="379">+IF(D150=0.333,E150*F150*G150*J150,0)</f>
        <v>0</v>
      </c>
      <c r="M150" s="81">
        <v>4</v>
      </c>
      <c r="N150" s="103">
        <f t="shared" ref="N150" si="380">+IF(D150=0.667,E150*F150*G150*H150*M150,0)</f>
        <v>-8.0040000000000013</v>
      </c>
      <c r="O150" s="103">
        <f t="shared" ref="O150" si="381">+IF(D150=0.333,E150*F150*G150*M150,0)</f>
        <v>0</v>
      </c>
      <c r="P150" s="81"/>
      <c r="Q150" s="103">
        <f t="shared" ref="Q150" si="382">+IF(D150=0.667,E150*F150*G150*H150*P150,0)</f>
        <v>0</v>
      </c>
      <c r="R150" s="103">
        <f t="shared" ref="R150" si="383">+IF(D150=0.333,E150*F150*G150*P150,0)</f>
        <v>0</v>
      </c>
      <c r="S150" s="104">
        <f t="shared" si="376"/>
        <v>-14.007000000000001</v>
      </c>
      <c r="T150" s="104">
        <f t="shared" si="376"/>
        <v>0</v>
      </c>
      <c r="U150" s="18"/>
      <c r="V150" s="26"/>
      <c r="W150" s="21">
        <f>+G150+D150</f>
        <v>3.6669999999999998</v>
      </c>
      <c r="X150" s="21">
        <v>0.5</v>
      </c>
      <c r="Y150" s="21">
        <f>+IF(D150=0.667,-E150*F150*H150*W150*X150,0)</f>
        <v>1.2229445000000001</v>
      </c>
      <c r="Z150" s="21">
        <f>+IF(D150=0.333,-E150*F150*H150*W150*X150,0)</f>
        <v>0</v>
      </c>
      <c r="AA150" s="21">
        <f>+F150*G150*H150</f>
        <v>2.0010000000000003</v>
      </c>
      <c r="AB150" s="21">
        <f t="shared" ref="AB150" si="384">2*F150*W150*X150</f>
        <v>3.6669999999999998</v>
      </c>
      <c r="AC150" s="27"/>
      <c r="AD150" s="21"/>
      <c r="AE150" s="21"/>
      <c r="AF150" s="21"/>
      <c r="AG150" s="27"/>
      <c r="AH150" s="306"/>
      <c r="AI150" s="299"/>
      <c r="AK150" s="301">
        <f t="shared" si="347"/>
        <v>-3</v>
      </c>
      <c r="AL150" s="301">
        <f t="shared" si="348"/>
        <v>0</v>
      </c>
      <c r="AM150" s="301"/>
      <c r="AN150" s="301"/>
      <c r="AO150" s="299"/>
      <c r="AP150" s="301">
        <f t="shared" ref="AP150:AP152" si="385">+S150</f>
        <v>-14.007000000000001</v>
      </c>
      <c r="AQ150" s="301"/>
      <c r="AT150" s="28">
        <f t="shared" si="360"/>
        <v>-3</v>
      </c>
    </row>
    <row r="151" spans="2:46" s="28" customFormat="1" ht="20.100000000000001" customHeight="1" x14ac:dyDescent="0.3">
      <c r="B151" s="92"/>
      <c r="C151" s="95" t="s">
        <v>38</v>
      </c>
      <c r="D151" s="98">
        <v>0.66700000000000004</v>
      </c>
      <c r="E151" s="92">
        <v>1</v>
      </c>
      <c r="F151" s="92">
        <v>1</v>
      </c>
      <c r="G151" s="555">
        <f>(2.55)*3.281</f>
        <v>8.3665500000000002</v>
      </c>
      <c r="H151" s="98">
        <f>+D151</f>
        <v>0.66700000000000004</v>
      </c>
      <c r="I151" s="94">
        <v>2</v>
      </c>
      <c r="J151" s="99">
        <v>3</v>
      </c>
      <c r="K151" s="100">
        <f>+IF(D151=0.667,E151*F151*G151*H151*J151,0)</f>
        <v>16.741466549999998</v>
      </c>
      <c r="L151" s="100">
        <f>+IF(D151=0.333,E151*F151*G151*J151,0)</f>
        <v>0</v>
      </c>
      <c r="M151" s="99">
        <v>4</v>
      </c>
      <c r="N151" s="100">
        <f>+IF(D151=0.667,E151*F151*G151*H151*M151,0)</f>
        <v>22.3219554</v>
      </c>
      <c r="O151" s="100">
        <f>+IF(D151=0.333,E151*F151*G151*M151,0)</f>
        <v>0</v>
      </c>
      <c r="P151" s="81">
        <f t="shared" ref="P151:P152" si="386">11.833-I151-M151-J151</f>
        <v>2.8330000000000002</v>
      </c>
      <c r="Q151" s="100">
        <f>+IF(D151=0.667,E151*F151*G151*H151*P151,0)</f>
        <v>15.809524912050001</v>
      </c>
      <c r="R151" s="100">
        <f>+IF(D151=0.333,E151*F151*G151*P151,0)</f>
        <v>0</v>
      </c>
      <c r="S151" s="101">
        <f t="shared" si="376"/>
        <v>54.87294686205</v>
      </c>
      <c r="T151" s="101">
        <f t="shared" si="376"/>
        <v>0</v>
      </c>
      <c r="U151" s="92"/>
      <c r="V151" s="91"/>
      <c r="W151" s="102"/>
      <c r="X151" s="98"/>
      <c r="Y151" s="102"/>
      <c r="Z151" s="98"/>
      <c r="AA151" s="98"/>
      <c r="AB151" s="98"/>
      <c r="AC151" s="91"/>
      <c r="AD151" s="98"/>
      <c r="AE151" s="98"/>
      <c r="AF151" s="98"/>
      <c r="AG151" s="91"/>
      <c r="AH151" s="304">
        <v>1</v>
      </c>
      <c r="AI151" s="299">
        <f>+AH151*G151*D151*0.17</f>
        <v>0.94868310450000004</v>
      </c>
      <c r="AK151" s="301">
        <f t="shared" si="347"/>
        <v>8.3665500000000002</v>
      </c>
      <c r="AL151" s="301">
        <f t="shared" si="348"/>
        <v>0</v>
      </c>
      <c r="AM151" s="301"/>
      <c r="AN151" s="301"/>
      <c r="AO151" s="299"/>
      <c r="AP151" s="301">
        <f t="shared" si="385"/>
        <v>54.87294686205</v>
      </c>
      <c r="AQ151" s="301"/>
      <c r="AT151" s="28">
        <f t="shared" si="360"/>
        <v>8.3665500000000002</v>
      </c>
    </row>
    <row r="152" spans="2:46" s="28" customFormat="1" ht="20.100000000000001" customHeight="1" x14ac:dyDescent="0.3">
      <c r="B152" s="92"/>
      <c r="C152" s="95" t="s">
        <v>32</v>
      </c>
      <c r="D152" s="98">
        <v>0.66700000000000004</v>
      </c>
      <c r="E152" s="92">
        <v>1</v>
      </c>
      <c r="F152" s="92">
        <v>1</v>
      </c>
      <c r="G152" s="555">
        <f>(2.14)*3.281</f>
        <v>7.0213400000000004</v>
      </c>
      <c r="H152" s="98">
        <f>+D152</f>
        <v>0.66700000000000004</v>
      </c>
      <c r="I152" s="94">
        <v>2</v>
      </c>
      <c r="J152" s="99">
        <v>3</v>
      </c>
      <c r="K152" s="100">
        <f>+IF(D152=0.667,E152*F152*G152*H152*J152,0)</f>
        <v>14.04970134</v>
      </c>
      <c r="L152" s="100">
        <f>+IF(D152=0.333,E152*F152*G152*J152,0)</f>
        <v>0</v>
      </c>
      <c r="M152" s="99">
        <v>4</v>
      </c>
      <c r="N152" s="100">
        <f>+IF(D152=0.667,E152*F152*G152*H152*M152,0)</f>
        <v>18.73293512</v>
      </c>
      <c r="O152" s="100">
        <f>+IF(D152=0.333,E152*F152*G152*M152,0)</f>
        <v>0</v>
      </c>
      <c r="P152" s="81">
        <f t="shared" si="386"/>
        <v>2.8330000000000002</v>
      </c>
      <c r="Q152" s="100">
        <f>+IF(D152=0.667,E152*F152*G152*H152*P152,0)</f>
        <v>13.267601298740001</v>
      </c>
      <c r="R152" s="100">
        <f>+IF(D152=0.333,E152*F152*G152*P152,0)</f>
        <v>0</v>
      </c>
      <c r="S152" s="101">
        <f t="shared" si="376"/>
        <v>46.050237758739996</v>
      </c>
      <c r="T152" s="101">
        <f t="shared" si="376"/>
        <v>0</v>
      </c>
      <c r="U152" s="92"/>
      <c r="V152" s="91"/>
      <c r="W152" s="102"/>
      <c r="X152" s="98"/>
      <c r="Y152" s="102"/>
      <c r="Z152" s="98"/>
      <c r="AA152" s="98"/>
      <c r="AB152" s="98"/>
      <c r="AC152" s="91"/>
      <c r="AD152" s="98"/>
      <c r="AE152" s="98"/>
      <c r="AF152" s="98"/>
      <c r="AG152" s="91"/>
      <c r="AH152" s="304">
        <v>1</v>
      </c>
      <c r="AI152" s="299">
        <f>+AH152*G152*D152*0.17</f>
        <v>0.79614974260000004</v>
      </c>
      <c r="AK152" s="301">
        <f t="shared" si="347"/>
        <v>7.0213400000000004</v>
      </c>
      <c r="AL152" s="301">
        <f t="shared" si="348"/>
        <v>0</v>
      </c>
      <c r="AM152" s="301"/>
      <c r="AN152" s="301"/>
      <c r="AO152" s="299"/>
      <c r="AP152" s="301">
        <f t="shared" si="385"/>
        <v>46.050237758739996</v>
      </c>
      <c r="AQ152" s="301"/>
      <c r="AT152" s="28">
        <f t="shared" si="360"/>
        <v>7.0213400000000004</v>
      </c>
    </row>
    <row r="153" spans="2:46" s="28" customFormat="1" ht="20.100000000000001" customHeight="1" x14ac:dyDescent="0.3">
      <c r="B153" s="369"/>
      <c r="C153" s="370"/>
      <c r="D153" s="371"/>
      <c r="E153" s="369"/>
      <c r="F153" s="369"/>
      <c r="G153" s="371"/>
      <c r="H153" s="371"/>
      <c r="I153" s="372"/>
      <c r="J153" s="92"/>
      <c r="K153" s="92"/>
      <c r="L153" s="92"/>
      <c r="M153" s="92"/>
      <c r="N153" s="92"/>
      <c r="O153" s="92"/>
      <c r="P153" s="92"/>
      <c r="Q153" s="92"/>
      <c r="R153" s="92"/>
      <c r="S153" s="92"/>
      <c r="T153" s="92"/>
      <c r="U153" s="369"/>
      <c r="V153" s="373"/>
      <c r="W153" s="374"/>
      <c r="X153" s="371"/>
      <c r="Y153" s="374"/>
      <c r="Z153" s="371"/>
      <c r="AA153" s="371"/>
      <c r="AB153" s="371"/>
      <c r="AC153" s="373"/>
      <c r="AD153" s="371"/>
      <c r="AE153" s="371"/>
      <c r="AF153" s="371"/>
      <c r="AG153" s="373"/>
      <c r="AH153" s="375"/>
      <c r="AI153" s="374"/>
      <c r="AK153" s="301">
        <f t="shared" si="347"/>
        <v>0</v>
      </c>
      <c r="AL153" s="301">
        <f t="shared" si="348"/>
        <v>0</v>
      </c>
      <c r="AM153" s="378"/>
      <c r="AN153" s="378"/>
      <c r="AO153" s="374"/>
      <c r="AP153" s="378"/>
      <c r="AQ153" s="378"/>
      <c r="AT153" s="28">
        <f t="shared" si="360"/>
        <v>0</v>
      </c>
    </row>
    <row r="154" spans="2:46" s="28" customFormat="1" ht="20.100000000000001" customHeight="1" x14ac:dyDescent="0.3">
      <c r="B154" s="92"/>
      <c r="C154" s="97" t="s">
        <v>332</v>
      </c>
      <c r="D154" s="98"/>
      <c r="E154" s="92"/>
      <c r="F154" s="92"/>
      <c r="G154" s="98"/>
      <c r="H154" s="98"/>
      <c r="I154" s="94"/>
      <c r="J154" s="92"/>
      <c r="K154" s="92"/>
      <c r="L154" s="92"/>
      <c r="M154" s="92"/>
      <c r="N154" s="92"/>
      <c r="O154" s="92"/>
      <c r="P154" s="92"/>
      <c r="Q154" s="92"/>
      <c r="R154" s="92"/>
      <c r="S154" s="92"/>
      <c r="T154" s="92"/>
      <c r="U154" s="92"/>
      <c r="V154" s="91"/>
      <c r="W154" s="102"/>
      <c r="X154" s="98"/>
      <c r="Y154" s="102"/>
      <c r="Z154" s="98"/>
      <c r="AA154" s="98"/>
      <c r="AB154" s="98"/>
      <c r="AC154" s="91"/>
      <c r="AD154" s="98"/>
      <c r="AE154" s="98"/>
      <c r="AF154" s="98"/>
      <c r="AG154" s="91"/>
      <c r="AH154" s="305"/>
      <c r="AI154" s="299"/>
      <c r="AK154" s="301">
        <f t="shared" si="347"/>
        <v>0</v>
      </c>
      <c r="AL154" s="301">
        <f t="shared" si="348"/>
        <v>0</v>
      </c>
      <c r="AM154" s="301"/>
      <c r="AN154" s="301">
        <f>+IF(D154=0.333,1.33,0)</f>
        <v>0</v>
      </c>
      <c r="AO154" s="299"/>
      <c r="AP154" s="301">
        <f t="shared" ref="AP154" si="387">+S154</f>
        <v>0</v>
      </c>
      <c r="AQ154" s="301"/>
      <c r="AT154" s="28">
        <f t="shared" si="360"/>
        <v>0</v>
      </c>
    </row>
    <row r="155" spans="2:46" s="28" customFormat="1" ht="20.100000000000001" customHeight="1" x14ac:dyDescent="0.3">
      <c r="B155" s="92"/>
      <c r="C155" s="95" t="s">
        <v>33</v>
      </c>
      <c r="D155" s="98">
        <v>0.66700000000000004</v>
      </c>
      <c r="E155" s="92">
        <v>1</v>
      </c>
      <c r="F155" s="92">
        <v>1</v>
      </c>
      <c r="G155" s="555">
        <f>+(2.14*3.281)</f>
        <v>7.0213400000000004</v>
      </c>
      <c r="H155" s="98">
        <f>+D155</f>
        <v>0.66700000000000004</v>
      </c>
      <c r="I155" s="94">
        <v>2</v>
      </c>
      <c r="J155" s="99">
        <v>3</v>
      </c>
      <c r="K155" s="100">
        <f>+IF(D155=0.667,E155*F155*G155*H155*J155,0)</f>
        <v>14.04970134</v>
      </c>
      <c r="L155" s="100">
        <f>+IF(D155=0.333,E155*F155*G155*J155,0)</f>
        <v>0</v>
      </c>
      <c r="M155" s="99">
        <v>4</v>
      </c>
      <c r="N155" s="100">
        <f>+IF(D155=0.667,E155*F155*G155*H155*M155,0)</f>
        <v>18.73293512</v>
      </c>
      <c r="O155" s="100">
        <f>+IF(D155=0.333,E155*F155*G155*M155,0)</f>
        <v>0</v>
      </c>
      <c r="P155" s="81">
        <f>11.833-I155-M155-J155</f>
        <v>2.8330000000000002</v>
      </c>
      <c r="Q155" s="100">
        <f>+IF(D155=0.667,E155*F155*G155*H155*P155,0)</f>
        <v>13.267601298740001</v>
      </c>
      <c r="R155" s="100">
        <f>+IF(D155=0.333,E155*F155*G155*P155,0)</f>
        <v>0</v>
      </c>
      <c r="S155" s="101">
        <f t="shared" ref="S155:T158" si="388">+Q155+N155+K155</f>
        <v>46.050237758739996</v>
      </c>
      <c r="T155" s="101">
        <f t="shared" si="388"/>
        <v>0</v>
      </c>
      <c r="U155" s="92"/>
      <c r="V155" s="91"/>
      <c r="W155" s="102"/>
      <c r="X155" s="98"/>
      <c r="Y155" s="102"/>
      <c r="Z155" s="98"/>
      <c r="AA155" s="98"/>
      <c r="AB155" s="98"/>
      <c r="AC155" s="91"/>
      <c r="AD155" s="98"/>
      <c r="AE155" s="98"/>
      <c r="AF155" s="98"/>
      <c r="AG155" s="91"/>
      <c r="AH155" s="305">
        <v>1</v>
      </c>
      <c r="AI155" s="299">
        <f>+AH155*G155*D155*0.17</f>
        <v>0.79614974260000004</v>
      </c>
      <c r="AK155" s="301">
        <f t="shared" si="347"/>
        <v>7.0213400000000004</v>
      </c>
      <c r="AL155" s="301">
        <f t="shared" si="348"/>
        <v>0</v>
      </c>
      <c r="AM155" s="301"/>
      <c r="AN155" s="301">
        <f>+IF(D155=0.333,1.33,0)</f>
        <v>0</v>
      </c>
      <c r="AO155" s="299"/>
      <c r="AP155" s="301">
        <f>+S155</f>
        <v>46.050237758739996</v>
      </c>
      <c r="AQ155" s="301"/>
      <c r="AT155" s="28">
        <f t="shared" si="360"/>
        <v>7.0213400000000004</v>
      </c>
    </row>
    <row r="156" spans="2:46" s="28" customFormat="1" ht="20.100000000000001" customHeight="1" x14ac:dyDescent="0.3">
      <c r="B156" s="18"/>
      <c r="C156" s="62" t="s">
        <v>130</v>
      </c>
      <c r="D156" s="98">
        <v>0.66700000000000004</v>
      </c>
      <c r="E156" s="18">
        <v>-1</v>
      </c>
      <c r="F156" s="18">
        <v>1</v>
      </c>
      <c r="G156" s="556">
        <v>3</v>
      </c>
      <c r="H156" s="20">
        <f t="shared" ref="H156" si="389">+D156</f>
        <v>0.66700000000000004</v>
      </c>
      <c r="I156" s="21"/>
      <c r="J156" s="22">
        <v>3</v>
      </c>
      <c r="K156" s="103">
        <f t="shared" ref="K156" si="390">+IF(D156=0.667,E156*F156*G156*H156*J156,0)</f>
        <v>-6.003000000000001</v>
      </c>
      <c r="L156" s="103">
        <f t="shared" ref="L156" si="391">+IF(D156=0.333,E156*F156*G156*J156,0)</f>
        <v>0</v>
      </c>
      <c r="M156" s="81">
        <v>4</v>
      </c>
      <c r="N156" s="103">
        <f t="shared" ref="N156" si="392">+IF(D156=0.667,E156*F156*G156*H156*M156,0)</f>
        <v>-8.0040000000000013</v>
      </c>
      <c r="O156" s="103">
        <f t="shared" ref="O156" si="393">+IF(D156=0.333,E156*F156*G156*M156,0)</f>
        <v>0</v>
      </c>
      <c r="P156" s="81"/>
      <c r="Q156" s="103">
        <f t="shared" ref="Q156" si="394">+IF(D156=0.667,E156*F156*G156*H156*P156,0)</f>
        <v>0</v>
      </c>
      <c r="R156" s="103">
        <f t="shared" ref="R156" si="395">+IF(D156=0.333,E156*F156*G156*P156,0)</f>
        <v>0</v>
      </c>
      <c r="S156" s="104">
        <f t="shared" si="388"/>
        <v>-14.007000000000001</v>
      </c>
      <c r="T156" s="104">
        <f t="shared" si="388"/>
        <v>0</v>
      </c>
      <c r="U156" s="18"/>
      <c r="V156" s="26"/>
      <c r="W156" s="21">
        <f>+G156+D156</f>
        <v>3.6669999999999998</v>
      </c>
      <c r="X156" s="21">
        <v>0.5</v>
      </c>
      <c r="Y156" s="21">
        <f>+IF(D156=0.667,-E156*F156*H156*W156*X156,0)</f>
        <v>1.2229445000000001</v>
      </c>
      <c r="Z156" s="21">
        <f>+IF(D156=0.333,-E156*F156*H156*W156*X156,0)</f>
        <v>0</v>
      </c>
      <c r="AA156" s="21">
        <f>+F156*G156*H156</f>
        <v>2.0010000000000003</v>
      </c>
      <c r="AB156" s="21">
        <f t="shared" ref="AB156" si="396">2*F156*W156*X156</f>
        <v>3.6669999999999998</v>
      </c>
      <c r="AC156" s="27"/>
      <c r="AD156" s="21"/>
      <c r="AE156" s="21"/>
      <c r="AF156" s="21"/>
      <c r="AG156" s="27"/>
      <c r="AH156" s="306"/>
      <c r="AI156" s="299"/>
      <c r="AK156" s="301">
        <f t="shared" si="347"/>
        <v>-3</v>
      </c>
      <c r="AL156" s="301">
        <f t="shared" si="348"/>
        <v>0</v>
      </c>
      <c r="AM156" s="301"/>
      <c r="AN156" s="301"/>
      <c r="AO156" s="299"/>
      <c r="AP156" s="301">
        <f t="shared" ref="AP156:AP158" si="397">+S156</f>
        <v>-14.007000000000001</v>
      </c>
      <c r="AQ156" s="301"/>
      <c r="AT156" s="28">
        <f t="shared" si="360"/>
        <v>-3</v>
      </c>
    </row>
    <row r="157" spans="2:46" s="28" customFormat="1" ht="20.100000000000001" customHeight="1" x14ac:dyDescent="0.3">
      <c r="B157" s="92"/>
      <c r="C157" s="95" t="s">
        <v>38</v>
      </c>
      <c r="D157" s="98">
        <v>0.66700000000000004</v>
      </c>
      <c r="E157" s="92">
        <v>1</v>
      </c>
      <c r="F157" s="92">
        <v>1</v>
      </c>
      <c r="G157" s="555">
        <f>(2.55)*3.281</f>
        <v>8.3665500000000002</v>
      </c>
      <c r="H157" s="98">
        <f>+D157</f>
        <v>0.66700000000000004</v>
      </c>
      <c r="I157" s="94">
        <v>2</v>
      </c>
      <c r="J157" s="99">
        <v>3</v>
      </c>
      <c r="K157" s="100">
        <f>+IF(D157=0.667,E157*F157*G157*H157*J157,0)</f>
        <v>16.741466549999998</v>
      </c>
      <c r="L157" s="100">
        <f>+IF(D157=0.333,E157*F157*G157*J157,0)</f>
        <v>0</v>
      </c>
      <c r="M157" s="99">
        <v>4</v>
      </c>
      <c r="N157" s="100">
        <f>+IF(D157=0.667,E157*F157*G157*H157*M157,0)</f>
        <v>22.3219554</v>
      </c>
      <c r="O157" s="100">
        <f>+IF(D157=0.333,E157*F157*G157*M157,0)</f>
        <v>0</v>
      </c>
      <c r="P157" s="81">
        <f t="shared" ref="P157:P158" si="398">11.833-I157-M157-J157</f>
        <v>2.8330000000000002</v>
      </c>
      <c r="Q157" s="100">
        <f>+IF(D157=0.667,E157*F157*G157*H157*P157,0)</f>
        <v>15.809524912050001</v>
      </c>
      <c r="R157" s="100">
        <f>+IF(D157=0.333,E157*F157*G157*P157,0)</f>
        <v>0</v>
      </c>
      <c r="S157" s="101">
        <f t="shared" si="388"/>
        <v>54.87294686205</v>
      </c>
      <c r="T157" s="101">
        <f t="shared" si="388"/>
        <v>0</v>
      </c>
      <c r="U157" s="92"/>
      <c r="V157" s="91"/>
      <c r="W157" s="102"/>
      <c r="X157" s="98"/>
      <c r="Y157" s="102"/>
      <c r="Z157" s="98"/>
      <c r="AA157" s="98"/>
      <c r="AB157" s="98"/>
      <c r="AC157" s="91"/>
      <c r="AD157" s="98"/>
      <c r="AE157" s="98"/>
      <c r="AF157" s="98"/>
      <c r="AG157" s="91"/>
      <c r="AH157" s="304">
        <v>1</v>
      </c>
      <c r="AI157" s="299">
        <f>+AH157*G157*D157*0.17</f>
        <v>0.94868310450000004</v>
      </c>
      <c r="AK157" s="301">
        <f t="shared" si="347"/>
        <v>8.3665500000000002</v>
      </c>
      <c r="AL157" s="301">
        <f t="shared" si="348"/>
        <v>0</v>
      </c>
      <c r="AM157" s="301"/>
      <c r="AN157" s="301"/>
      <c r="AO157" s="299"/>
      <c r="AP157" s="301">
        <f t="shared" si="397"/>
        <v>54.87294686205</v>
      </c>
      <c r="AQ157" s="301"/>
      <c r="AT157" s="28">
        <f t="shared" si="360"/>
        <v>8.3665500000000002</v>
      </c>
    </row>
    <row r="158" spans="2:46" s="28" customFormat="1" ht="20.100000000000001" customHeight="1" x14ac:dyDescent="0.3">
      <c r="B158" s="92"/>
      <c r="C158" s="95" t="s">
        <v>32</v>
      </c>
      <c r="D158" s="98">
        <v>0.66700000000000004</v>
      </c>
      <c r="E158" s="92">
        <v>1</v>
      </c>
      <c r="F158" s="92">
        <v>1</v>
      </c>
      <c r="G158" s="555">
        <f>(2.14)*3.281</f>
        <v>7.0213400000000004</v>
      </c>
      <c r="H158" s="98">
        <f>+D158</f>
        <v>0.66700000000000004</v>
      </c>
      <c r="I158" s="94">
        <v>2</v>
      </c>
      <c r="J158" s="99">
        <v>3</v>
      </c>
      <c r="K158" s="100">
        <f>+IF(D158=0.667,E158*F158*G158*H158*J158,0)</f>
        <v>14.04970134</v>
      </c>
      <c r="L158" s="100">
        <f>+IF(D158=0.333,E158*F158*G158*J158,0)</f>
        <v>0</v>
      </c>
      <c r="M158" s="99">
        <v>4</v>
      </c>
      <c r="N158" s="100">
        <f>+IF(D158=0.667,E158*F158*G158*H158*M158,0)</f>
        <v>18.73293512</v>
      </c>
      <c r="O158" s="100">
        <f>+IF(D158=0.333,E158*F158*G158*M158,0)</f>
        <v>0</v>
      </c>
      <c r="P158" s="81">
        <f t="shared" si="398"/>
        <v>2.8330000000000002</v>
      </c>
      <c r="Q158" s="100">
        <f>+IF(D158=0.667,E158*F158*G158*H158*P158,0)</f>
        <v>13.267601298740001</v>
      </c>
      <c r="R158" s="100">
        <f>+IF(D158=0.333,E158*F158*G158*P158,0)</f>
        <v>0</v>
      </c>
      <c r="S158" s="101">
        <f t="shared" si="388"/>
        <v>46.050237758739996</v>
      </c>
      <c r="T158" s="101">
        <f t="shared" si="388"/>
        <v>0</v>
      </c>
      <c r="U158" s="92"/>
      <c r="V158" s="91"/>
      <c r="W158" s="102"/>
      <c r="X158" s="98"/>
      <c r="Y158" s="102"/>
      <c r="Z158" s="98"/>
      <c r="AA158" s="98"/>
      <c r="AB158" s="98"/>
      <c r="AC158" s="91"/>
      <c r="AD158" s="98"/>
      <c r="AE158" s="98"/>
      <c r="AF158" s="98"/>
      <c r="AG158" s="91"/>
      <c r="AH158" s="304">
        <v>1</v>
      </c>
      <c r="AI158" s="299">
        <f>+AH158*G158*D158*0.17</f>
        <v>0.79614974260000004</v>
      </c>
      <c r="AK158" s="301">
        <f t="shared" si="347"/>
        <v>7.0213400000000004</v>
      </c>
      <c r="AL158" s="301">
        <f t="shared" si="348"/>
        <v>0</v>
      </c>
      <c r="AM158" s="301"/>
      <c r="AN158" s="301"/>
      <c r="AO158" s="299"/>
      <c r="AP158" s="301">
        <f t="shared" si="397"/>
        <v>46.050237758739996</v>
      </c>
      <c r="AQ158" s="301"/>
      <c r="AT158" s="28">
        <f t="shared" si="360"/>
        <v>7.0213400000000004</v>
      </c>
    </row>
    <row r="159" spans="2:46" s="28" customFormat="1" ht="20.100000000000001" customHeight="1" x14ac:dyDescent="0.3">
      <c r="B159" s="369"/>
      <c r="C159" s="370"/>
      <c r="D159" s="371"/>
      <c r="E159" s="369"/>
      <c r="F159" s="369"/>
      <c r="G159" s="371"/>
      <c r="H159" s="371"/>
      <c r="I159" s="374"/>
      <c r="J159" s="397"/>
      <c r="K159" s="398"/>
      <c r="L159" s="398"/>
      <c r="M159" s="397"/>
      <c r="N159" s="398"/>
      <c r="O159" s="398"/>
      <c r="P159" s="397"/>
      <c r="Q159" s="398"/>
      <c r="R159" s="398"/>
      <c r="S159" s="399"/>
      <c r="T159" s="399"/>
      <c r="U159" s="369"/>
      <c r="V159" s="373"/>
      <c r="W159" s="374"/>
      <c r="X159" s="374"/>
      <c r="Y159" s="374"/>
      <c r="Z159" s="374"/>
      <c r="AA159" s="374"/>
      <c r="AB159" s="374"/>
      <c r="AC159" s="400"/>
      <c r="AD159" s="374"/>
      <c r="AE159" s="374"/>
      <c r="AF159" s="374"/>
      <c r="AG159" s="400"/>
      <c r="AH159" s="401"/>
      <c r="AI159" s="374"/>
      <c r="AK159" s="378"/>
      <c r="AL159" s="378"/>
      <c r="AM159" s="378"/>
      <c r="AN159" s="378"/>
      <c r="AO159" s="374"/>
      <c r="AP159" s="378"/>
      <c r="AQ159" s="378"/>
      <c r="AT159" s="28">
        <f t="shared" si="360"/>
        <v>0</v>
      </c>
    </row>
    <row r="160" spans="2:46" s="28" customFormat="1" ht="20.100000000000001" customHeight="1" x14ac:dyDescent="0.3">
      <c r="B160" s="92"/>
      <c r="C160" s="97" t="s">
        <v>384</v>
      </c>
      <c r="D160" s="92"/>
      <c r="E160" s="92"/>
      <c r="F160" s="92"/>
      <c r="G160" s="92"/>
      <c r="H160" s="92"/>
      <c r="I160" s="94"/>
      <c r="J160" s="92"/>
      <c r="K160" s="92"/>
      <c r="L160" s="92"/>
      <c r="M160" s="92"/>
      <c r="N160" s="92"/>
      <c r="O160" s="92"/>
      <c r="P160" s="92"/>
      <c r="Q160" s="92"/>
      <c r="R160" s="92"/>
      <c r="S160" s="92"/>
      <c r="T160" s="92"/>
      <c r="U160" s="92"/>
      <c r="V160" s="95"/>
      <c r="W160" s="92"/>
      <c r="X160" s="92"/>
      <c r="Y160" s="92"/>
      <c r="Z160" s="92"/>
      <c r="AA160" s="92"/>
      <c r="AB160" s="92"/>
      <c r="AC160" s="95"/>
      <c r="AD160" s="92"/>
      <c r="AE160" s="92"/>
      <c r="AF160" s="92"/>
      <c r="AG160" s="95"/>
      <c r="AH160" s="304"/>
      <c r="AI160" s="301"/>
      <c r="AK160" s="301"/>
      <c r="AL160" s="301"/>
      <c r="AM160" s="301"/>
      <c r="AN160" s="301"/>
      <c r="AO160" s="299"/>
      <c r="AP160" s="301"/>
      <c r="AQ160" s="301"/>
      <c r="AT160" s="28">
        <f t="shared" si="360"/>
        <v>0</v>
      </c>
    </row>
    <row r="161" spans="2:46" s="28" customFormat="1" ht="20.100000000000001" customHeight="1" x14ac:dyDescent="0.3">
      <c r="B161" s="92"/>
      <c r="C161" s="95" t="s">
        <v>33</v>
      </c>
      <c r="D161" s="98">
        <v>0.66700000000000004</v>
      </c>
      <c r="E161" s="92">
        <v>1</v>
      </c>
      <c r="F161" s="92">
        <v>1</v>
      </c>
      <c r="G161" s="555">
        <f>(5.213+7.717+7.714+7.701+8.2+6.115+5.433)*3.281</f>
        <v>157.79313300000001</v>
      </c>
      <c r="H161" s="98">
        <f>+D161</f>
        <v>0.66700000000000004</v>
      </c>
      <c r="I161" s="94">
        <v>2</v>
      </c>
      <c r="J161" s="99">
        <v>3</v>
      </c>
      <c r="K161" s="100">
        <f>+IF(D161=0.667,E161*F161*G161*H161*J161,0)</f>
        <v>315.74405913300006</v>
      </c>
      <c r="L161" s="100">
        <f>+IF(D161=0.333,E161*F161*G161*J161,0)</f>
        <v>0</v>
      </c>
      <c r="M161" s="99">
        <v>4</v>
      </c>
      <c r="N161" s="100">
        <f>+IF(D161=0.667,E161*F161*G161*H161*M161,0)</f>
        <v>420.99207884400005</v>
      </c>
      <c r="O161" s="100">
        <f>+IF(D161=0.333,E161*F161*G161*M161,0)</f>
        <v>0</v>
      </c>
      <c r="P161" s="27">
        <f>11.833-I161-M161-J161</f>
        <v>2.8330000000000002</v>
      </c>
      <c r="Q161" s="100">
        <f>+IF(D161=0.667,E161*F161*G161*H161*P161,0)</f>
        <v>298.16763984126305</v>
      </c>
      <c r="R161" s="100">
        <f>+IF(D161=0.333,E161*F161*G161*P161,0)</f>
        <v>0</v>
      </c>
      <c r="S161" s="101">
        <f t="shared" ref="S161:T167" si="399">+Q161+N161+K161</f>
        <v>1034.9037778182633</v>
      </c>
      <c r="T161" s="101">
        <f t="shared" si="399"/>
        <v>0</v>
      </c>
      <c r="U161" s="92"/>
      <c r="V161" s="91"/>
      <c r="W161" s="102"/>
      <c r="X161" s="98"/>
      <c r="Y161" s="102"/>
      <c r="Z161" s="98"/>
      <c r="AA161" s="98"/>
      <c r="AB161" s="98"/>
      <c r="AC161" s="91"/>
      <c r="AD161" s="98"/>
      <c r="AE161" s="98"/>
      <c r="AF161" s="98"/>
      <c r="AG161" s="91"/>
      <c r="AH161" s="305">
        <v>1</v>
      </c>
      <c r="AI161" s="299">
        <f>+AH161*G161*D161*0.17</f>
        <v>17.892163350870003</v>
      </c>
      <c r="AK161" s="301">
        <f t="shared" ref="AK161:AK162" si="400">+IF(D161=0.667,E161*F161*G161,0)</f>
        <v>157.79313300000001</v>
      </c>
      <c r="AL161" s="301">
        <f t="shared" ref="AL161:AL167" si="401">+IF(D161=0.333,E161*F161*G161,0)</f>
        <v>0</v>
      </c>
      <c r="AM161" s="301"/>
      <c r="AN161" s="301">
        <f>+IF(D161=0.333,1.33,0)</f>
        <v>0</v>
      </c>
      <c r="AO161" s="299"/>
      <c r="AP161" s="301"/>
      <c r="AQ161" s="301"/>
      <c r="AT161" s="28">
        <f t="shared" si="360"/>
        <v>157.79313300000001</v>
      </c>
    </row>
    <row r="162" spans="2:46" s="412" customFormat="1" ht="20.100000000000001" customHeight="1" x14ac:dyDescent="0.3">
      <c r="B162" s="402"/>
      <c r="C162" s="403" t="s">
        <v>355</v>
      </c>
      <c r="D162" s="416">
        <v>0.66700000000000004</v>
      </c>
      <c r="E162" s="402">
        <v>-1</v>
      </c>
      <c r="F162" s="402">
        <v>1</v>
      </c>
      <c r="G162" s="555">
        <f>(3.862*0+2.919*0+2.92*0+3.046+3.059+3.044)*3.281</f>
        <v>30.017869000000005</v>
      </c>
      <c r="H162" s="404">
        <f t="shared" ref="H162:H163" si="402">+D162</f>
        <v>0.66700000000000004</v>
      </c>
      <c r="I162" s="94">
        <v>2</v>
      </c>
      <c r="J162" s="417">
        <v>3</v>
      </c>
      <c r="K162" s="407">
        <f t="shared" ref="K162:K163" si="403">+IF(D162=0.667,E162*F162*G162*H162*J162,0)</f>
        <v>-60.065755869000014</v>
      </c>
      <c r="L162" s="407">
        <f t="shared" ref="L162:L163" si="404">+IF(D162=0.333,E162*F162*G162*J162,0)</f>
        <v>0</v>
      </c>
      <c r="M162" s="406">
        <v>4</v>
      </c>
      <c r="N162" s="407">
        <f t="shared" ref="N162:N163" si="405">+IF(D162=0.667,E162*F162*G162*H162*M162,0)</f>
        <v>-80.087674492000019</v>
      </c>
      <c r="O162" s="407">
        <f t="shared" ref="O162:O163" si="406">+IF(D162=0.333,E162*F162*G162*M162,0)</f>
        <v>0</v>
      </c>
      <c r="P162" s="410">
        <f>11.833-I162-M162-J162</f>
        <v>2.8330000000000002</v>
      </c>
      <c r="Q162" s="407">
        <f t="shared" ref="Q162:Q163" si="407">+IF(D162=0.667,E162*F162*G162*H162*P162,0)</f>
        <v>-56.722095458959018</v>
      </c>
      <c r="R162" s="407">
        <f t="shared" ref="R162:R163" si="408">+IF(D162=0.333,E162*F162*G162*P162,0)</f>
        <v>0</v>
      </c>
      <c r="S162" s="408">
        <f t="shared" si="399"/>
        <v>-196.87552581995905</v>
      </c>
      <c r="T162" s="408">
        <f t="shared" si="399"/>
        <v>0</v>
      </c>
      <c r="U162" s="402"/>
      <c r="V162" s="409"/>
      <c r="W162" s="405">
        <f>+G162+D162</f>
        <v>30.684869000000006</v>
      </c>
      <c r="X162" s="405">
        <v>0.5</v>
      </c>
      <c r="Y162" s="405">
        <f>+IF(D162=0.667,-E162*F162*H162*W162*X162,0)</f>
        <v>10.233403811500002</v>
      </c>
      <c r="Z162" s="405">
        <f>+IF(D162=0.333,-E162*F162*H162*W162*X162,0)</f>
        <v>0</v>
      </c>
      <c r="AA162" s="405">
        <f>+F162*G162*H162</f>
        <v>20.021918623000005</v>
      </c>
      <c r="AB162" s="405">
        <f t="shared" ref="AB162:AB163" si="409">2*F162*W162*X162</f>
        <v>30.684869000000006</v>
      </c>
      <c r="AC162" s="410"/>
      <c r="AD162" s="405"/>
      <c r="AE162" s="405"/>
      <c r="AF162" s="405"/>
      <c r="AG162" s="410"/>
      <c r="AH162" s="418"/>
      <c r="AI162" s="414"/>
      <c r="AK162" s="413">
        <f t="shared" si="400"/>
        <v>-30.017869000000005</v>
      </c>
      <c r="AL162" s="413">
        <f t="shared" si="401"/>
        <v>0</v>
      </c>
      <c r="AM162" s="413"/>
      <c r="AN162" s="413"/>
      <c r="AO162" s="414"/>
      <c r="AP162" s="413"/>
      <c r="AQ162" s="413"/>
      <c r="AT162" s="28">
        <f t="shared" si="360"/>
        <v>-30.017869000000005</v>
      </c>
    </row>
    <row r="163" spans="2:46" s="28" customFormat="1" ht="20.100000000000001" customHeight="1" x14ac:dyDescent="0.3">
      <c r="B163" s="92"/>
      <c r="C163" s="95" t="s">
        <v>347</v>
      </c>
      <c r="D163" s="98">
        <v>0.66700000000000004</v>
      </c>
      <c r="E163" s="92">
        <v>-1</v>
      </c>
      <c r="F163" s="92">
        <v>8</v>
      </c>
      <c r="G163" s="555">
        <v>6</v>
      </c>
      <c r="H163" s="98">
        <f t="shared" si="402"/>
        <v>0.66700000000000004</v>
      </c>
      <c r="I163" s="94"/>
      <c r="J163" s="99"/>
      <c r="K163" s="100">
        <f t="shared" si="403"/>
        <v>0</v>
      </c>
      <c r="L163" s="100">
        <f t="shared" si="404"/>
        <v>0</v>
      </c>
      <c r="M163" s="99">
        <v>4</v>
      </c>
      <c r="N163" s="100">
        <f t="shared" si="405"/>
        <v>-128.06400000000002</v>
      </c>
      <c r="O163" s="100">
        <f t="shared" si="406"/>
        <v>0</v>
      </c>
      <c r="P163" s="27">
        <v>0</v>
      </c>
      <c r="Q163" s="100">
        <f t="shared" si="407"/>
        <v>0</v>
      </c>
      <c r="R163" s="100">
        <f t="shared" si="408"/>
        <v>0</v>
      </c>
      <c r="S163" s="101">
        <f t="shared" si="399"/>
        <v>-128.06400000000002</v>
      </c>
      <c r="T163" s="101">
        <f t="shared" si="399"/>
        <v>0</v>
      </c>
      <c r="U163" s="92"/>
      <c r="V163" s="91"/>
      <c r="W163" s="102">
        <f>+G163+D163</f>
        <v>6.6669999999999998</v>
      </c>
      <c r="X163" s="98">
        <v>0.5</v>
      </c>
      <c r="Y163" s="102">
        <f>+IF(D163=0.667,-E163*F163*H163*W163*X163,0)</f>
        <v>17.787556000000002</v>
      </c>
      <c r="Z163" s="98">
        <f>+IF(D163=0.333,-E163*F163*H163*W163*X163,0)</f>
        <v>0</v>
      </c>
      <c r="AA163" s="98">
        <f>+F163*G163*H163</f>
        <v>32.016000000000005</v>
      </c>
      <c r="AB163" s="98">
        <f t="shared" si="409"/>
        <v>53.335999999999999</v>
      </c>
      <c r="AC163" s="91"/>
      <c r="AD163" s="98">
        <v>0.16700000000000001</v>
      </c>
      <c r="AE163" s="98">
        <f t="shared" ref="AE163" si="410">+IF(D163=0.667,AD163*W163*H163*F163,0)</f>
        <v>5.9410437040000001</v>
      </c>
      <c r="AF163" s="98">
        <f t="shared" ref="AF163" si="411">+IF(D163=0.333,AD163*W163*H163*F163,0)</f>
        <v>0</v>
      </c>
      <c r="AG163" s="91"/>
      <c r="AH163" s="305"/>
      <c r="AI163" s="299">
        <f t="shared" ref="AI163" si="412">+AH163*G163*D163*0.17</f>
        <v>0</v>
      </c>
      <c r="AK163" s="301"/>
      <c r="AL163" s="301">
        <f t="shared" si="401"/>
        <v>0</v>
      </c>
      <c r="AM163" s="301"/>
      <c r="AN163" s="301"/>
      <c r="AO163" s="299"/>
      <c r="AP163" s="301"/>
      <c r="AQ163" s="301"/>
      <c r="AT163" s="28">
        <f t="shared" si="360"/>
        <v>-48</v>
      </c>
    </row>
    <row r="164" spans="2:46" s="28" customFormat="1" ht="20.100000000000001" customHeight="1" x14ac:dyDescent="0.3">
      <c r="B164" s="92"/>
      <c r="C164" s="95" t="s">
        <v>358</v>
      </c>
      <c r="D164" s="98">
        <v>0.66700000000000004</v>
      </c>
      <c r="E164" s="92">
        <f>1*0</f>
        <v>0</v>
      </c>
      <c r="F164" s="92">
        <f>1*0</f>
        <v>0</v>
      </c>
      <c r="G164" s="98">
        <f>(5.549+3.698)*3.281</f>
        <v>30.339407000000001</v>
      </c>
      <c r="H164" s="98">
        <f>+D164</f>
        <v>0.66700000000000004</v>
      </c>
      <c r="I164" s="94">
        <v>2</v>
      </c>
      <c r="J164" s="99">
        <v>3</v>
      </c>
      <c r="K164" s="100">
        <f>+IF(D164=0.667,E164*F164*G164*H164*J164,0)</f>
        <v>0</v>
      </c>
      <c r="L164" s="100">
        <f>+IF(D164=0.333,E164*F164*G164*J164,0)</f>
        <v>0</v>
      </c>
      <c r="M164" s="99">
        <v>4</v>
      </c>
      <c r="N164" s="100">
        <f>+IF(D164=0.667,E164*F164*G164*H164*M164,0)</f>
        <v>0</v>
      </c>
      <c r="O164" s="100">
        <f>+IF(D164=0.333,E164*F164*G164*M164,0)</f>
        <v>0</v>
      </c>
      <c r="P164" s="27">
        <f t="shared" ref="P164:P165" si="413">11.833-I164-M164-J164</f>
        <v>2.8330000000000002</v>
      </c>
      <c r="Q164" s="100">
        <f>+IF(D164=0.667,E164*F164*G164*H164*P164,0)</f>
        <v>0</v>
      </c>
      <c r="R164" s="100">
        <f>+IF(D164=0.333,E164*F164*G164*P164,0)</f>
        <v>0</v>
      </c>
      <c r="S164" s="101">
        <f t="shared" si="399"/>
        <v>0</v>
      </c>
      <c r="T164" s="101">
        <f t="shared" si="399"/>
        <v>0</v>
      </c>
      <c r="U164" s="92"/>
      <c r="V164" s="91"/>
      <c r="W164" s="102"/>
      <c r="X164" s="98"/>
      <c r="Y164" s="102"/>
      <c r="Z164" s="98"/>
      <c r="AA164" s="98"/>
      <c r="AB164" s="98"/>
      <c r="AC164" s="91"/>
      <c r="AD164" s="98"/>
      <c r="AE164" s="98"/>
      <c r="AF164" s="98"/>
      <c r="AG164" s="91"/>
      <c r="AH164" s="305">
        <v>1</v>
      </c>
      <c r="AI164" s="299">
        <f>+AH164*G164*D164*0.17</f>
        <v>3.4401853597300005</v>
      </c>
      <c r="AK164" s="301">
        <f t="shared" ref="AK164:AK165" si="414">+IF(D164=0.667,E164*F164*G164,0)</f>
        <v>0</v>
      </c>
      <c r="AL164" s="301">
        <f t="shared" si="401"/>
        <v>0</v>
      </c>
      <c r="AM164" s="301"/>
      <c r="AN164" s="301">
        <f>+IF(D164=0.333,1.33,0)</f>
        <v>0</v>
      </c>
      <c r="AO164" s="299"/>
      <c r="AP164" s="301"/>
      <c r="AQ164" s="301"/>
      <c r="AT164" s="28">
        <f t="shared" si="360"/>
        <v>0</v>
      </c>
    </row>
    <row r="165" spans="2:46" s="28" customFormat="1" ht="20.100000000000001" customHeight="1" x14ac:dyDescent="0.3">
      <c r="B165" s="92"/>
      <c r="C165" s="95" t="s">
        <v>32</v>
      </c>
      <c r="D165" s="98">
        <v>0.66700000000000004</v>
      </c>
      <c r="E165" s="92">
        <v>1</v>
      </c>
      <c r="F165" s="92">
        <v>1</v>
      </c>
      <c r="G165" s="555">
        <f>(7.972+5.765+3.384+5.548+6.818+3.547)*3.281</f>
        <v>108.38455399999998</v>
      </c>
      <c r="H165" s="98">
        <f>+D165</f>
        <v>0.66700000000000004</v>
      </c>
      <c r="I165" s="94">
        <v>2</v>
      </c>
      <c r="J165" s="99">
        <v>3</v>
      </c>
      <c r="K165" s="100">
        <f>+IF(D165=0.667,E165*F165*G165*H165*J165,0)</f>
        <v>216.87749255399996</v>
      </c>
      <c r="L165" s="100">
        <f>+IF(D165=0.333,E165*F165*G165*J165,0)</f>
        <v>0</v>
      </c>
      <c r="M165" s="99">
        <v>4</v>
      </c>
      <c r="N165" s="100">
        <f>+IF(D165=0.667,E165*F165*G165*H165*M165,0)</f>
        <v>289.16999007199996</v>
      </c>
      <c r="O165" s="100">
        <f>+IF(D165=0.333,E165*F165*G165*M165,0)</f>
        <v>0</v>
      </c>
      <c r="P165" s="27">
        <f t="shared" si="413"/>
        <v>2.8330000000000002</v>
      </c>
      <c r="Q165" s="100">
        <f>+IF(D165=0.667,E165*F165*G165*H165*P165,0)</f>
        <v>204.80464546849399</v>
      </c>
      <c r="R165" s="100">
        <f>+IF(D165=0.333,E165*F165*G165*P165,0)</f>
        <v>0</v>
      </c>
      <c r="S165" s="101">
        <f t="shared" si="399"/>
        <v>710.85212809449399</v>
      </c>
      <c r="T165" s="101">
        <f t="shared" si="399"/>
        <v>0</v>
      </c>
      <c r="U165" s="92"/>
      <c r="V165" s="91"/>
      <c r="W165" s="102"/>
      <c r="X165" s="98"/>
      <c r="Y165" s="102"/>
      <c r="Z165" s="98"/>
      <c r="AA165" s="98"/>
      <c r="AB165" s="98"/>
      <c r="AC165" s="91"/>
      <c r="AD165" s="98"/>
      <c r="AE165" s="98"/>
      <c r="AF165" s="98"/>
      <c r="AG165" s="91"/>
      <c r="AH165" s="305">
        <v>1</v>
      </c>
      <c r="AI165" s="299">
        <f>+AH165*G165*D165*0.17</f>
        <v>12.28972457806</v>
      </c>
      <c r="AK165" s="301">
        <f t="shared" si="414"/>
        <v>108.38455399999998</v>
      </c>
      <c r="AL165" s="301">
        <f t="shared" si="401"/>
        <v>0</v>
      </c>
      <c r="AM165" s="301"/>
      <c r="AN165" s="301">
        <f>+IF(D165=0.333,1.33,0)</f>
        <v>0</v>
      </c>
      <c r="AO165" s="299"/>
      <c r="AP165" s="301"/>
      <c r="AQ165" s="301"/>
      <c r="AT165" s="28">
        <f t="shared" si="360"/>
        <v>108.38455399999998</v>
      </c>
    </row>
    <row r="166" spans="2:46" s="28" customFormat="1" ht="20.100000000000001" customHeight="1" x14ac:dyDescent="0.3">
      <c r="B166" s="92"/>
      <c r="C166" s="95" t="s">
        <v>347</v>
      </c>
      <c r="D166" s="98">
        <v>0.66700000000000004</v>
      </c>
      <c r="E166" s="92">
        <v>-1</v>
      </c>
      <c r="F166" s="92">
        <v>3</v>
      </c>
      <c r="G166" s="555">
        <v>6</v>
      </c>
      <c r="H166" s="98">
        <f t="shared" ref="H166" si="415">+D166</f>
        <v>0.66700000000000004</v>
      </c>
      <c r="I166" s="94"/>
      <c r="J166" s="99"/>
      <c r="K166" s="100">
        <f t="shared" ref="K166" si="416">+IF(D166=0.667,E166*F166*G166*H166*J166,0)</f>
        <v>0</v>
      </c>
      <c r="L166" s="100">
        <f t="shared" ref="L166" si="417">+IF(D166=0.333,E166*F166*G166*J166,0)</f>
        <v>0</v>
      </c>
      <c r="M166" s="99">
        <v>4</v>
      </c>
      <c r="N166" s="100">
        <f t="shared" ref="N166" si="418">+IF(D166=0.667,E166*F166*G166*H166*M166,0)</f>
        <v>-48.024000000000001</v>
      </c>
      <c r="O166" s="100">
        <f t="shared" ref="O166" si="419">+IF(D166=0.333,E166*F166*G166*M166,0)</f>
        <v>0</v>
      </c>
      <c r="P166" s="27">
        <v>0</v>
      </c>
      <c r="Q166" s="100">
        <f t="shared" ref="Q166" si="420">+IF(D166=0.667,E166*F166*G166*H166*P166,0)</f>
        <v>0</v>
      </c>
      <c r="R166" s="100">
        <f t="shared" ref="R166" si="421">+IF(D166=0.333,E166*F166*G166*P166,0)</f>
        <v>0</v>
      </c>
      <c r="S166" s="101">
        <f t="shared" si="399"/>
        <v>-48.024000000000001</v>
      </c>
      <c r="T166" s="101">
        <f t="shared" si="399"/>
        <v>0</v>
      </c>
      <c r="U166" s="92"/>
      <c r="V166" s="91"/>
      <c r="W166" s="102">
        <f>+G166+D166</f>
        <v>6.6669999999999998</v>
      </c>
      <c r="X166" s="98">
        <v>0.5</v>
      </c>
      <c r="Y166" s="102">
        <f>+IF(D166=0.667,-E166*F166*H166*W166*X166,0)</f>
        <v>6.6703335000000008</v>
      </c>
      <c r="Z166" s="98">
        <f>+IF(D166=0.333,-E166*F166*H166*W166*X166,0)</f>
        <v>0</v>
      </c>
      <c r="AA166" s="98">
        <f>+F166*G166*H166</f>
        <v>12.006</v>
      </c>
      <c r="AB166" s="98">
        <f t="shared" ref="AB166" si="422">2*F166*W166*X166</f>
        <v>20.000999999999998</v>
      </c>
      <c r="AC166" s="91"/>
      <c r="AD166" s="98">
        <v>0.16700000000000001</v>
      </c>
      <c r="AE166" s="98">
        <f t="shared" ref="AE166" si="423">+IF(D166=0.667,AD166*W166*H166*F166,0)</f>
        <v>2.2278913889999998</v>
      </c>
      <c r="AF166" s="98">
        <f t="shared" ref="AF166" si="424">+IF(D166=0.333,AD166*W166*H166*F166,0)</f>
        <v>0</v>
      </c>
      <c r="AG166" s="91"/>
      <c r="AH166" s="305"/>
      <c r="AI166" s="299">
        <f t="shared" ref="AI166" si="425">+AH166*G166*D166*0.17</f>
        <v>0</v>
      </c>
      <c r="AK166" s="301"/>
      <c r="AL166" s="301">
        <f t="shared" si="401"/>
        <v>0</v>
      </c>
      <c r="AM166" s="301"/>
      <c r="AN166" s="301"/>
      <c r="AO166" s="299"/>
      <c r="AP166" s="301"/>
      <c r="AQ166" s="301"/>
      <c r="AT166" s="28">
        <f t="shared" si="360"/>
        <v>-18</v>
      </c>
    </row>
    <row r="167" spans="2:46" s="28" customFormat="1" ht="20.100000000000001" customHeight="1" x14ac:dyDescent="0.3">
      <c r="B167" s="92"/>
      <c r="C167" s="95" t="s">
        <v>38</v>
      </c>
      <c r="D167" s="98">
        <v>0.66700000000000004</v>
      </c>
      <c r="E167" s="92">
        <v>1</v>
      </c>
      <c r="F167" s="92">
        <v>1</v>
      </c>
      <c r="G167" s="555">
        <f>+(1.247+4.434+0.2+0.2+4.408+0.2+0.2+4.408+0.2+0.2+4.416+0.2+0.2+1.994+0.2)*3.281</f>
        <v>74.501666999999998</v>
      </c>
      <c r="H167" s="98">
        <f>+D167</f>
        <v>0.66700000000000004</v>
      </c>
      <c r="I167" s="94">
        <v>2</v>
      </c>
      <c r="J167" s="99">
        <v>3</v>
      </c>
      <c r="K167" s="100">
        <f>+IF(D167=0.667,E167*F167*G167*H167*J167,0)</f>
        <v>149.07783566699999</v>
      </c>
      <c r="L167" s="100">
        <f>+IF(D167=0.333,E167*F167*G167*J167,0)</f>
        <v>0</v>
      </c>
      <c r="M167" s="99">
        <v>4</v>
      </c>
      <c r="N167" s="100">
        <f>+IF(D167=0.667,E167*F167*G167*H167*M167,0)</f>
        <v>198.77044755599999</v>
      </c>
      <c r="O167" s="100">
        <f>+IF(D167=0.333,E167*F167*G167*M167,0)</f>
        <v>0</v>
      </c>
      <c r="P167" s="27">
        <f>11.833-I167-M167-J167</f>
        <v>2.8330000000000002</v>
      </c>
      <c r="Q167" s="100">
        <f>+IF(D167=0.667,E167*F167*G167*H167*P167,0)</f>
        <v>140.779169481537</v>
      </c>
      <c r="R167" s="100">
        <f>+IF(D167=0.333,E167*F167*G167*P167,0)</f>
        <v>0</v>
      </c>
      <c r="S167" s="101">
        <f t="shared" si="399"/>
        <v>488.62745270453701</v>
      </c>
      <c r="T167" s="101">
        <f t="shared" si="399"/>
        <v>0</v>
      </c>
      <c r="U167" s="92"/>
      <c r="V167" s="91"/>
      <c r="W167" s="102"/>
      <c r="X167" s="98"/>
      <c r="Y167" s="102"/>
      <c r="Z167" s="98"/>
      <c r="AA167" s="98"/>
      <c r="AB167" s="98"/>
      <c r="AC167" s="91"/>
      <c r="AD167" s="98"/>
      <c r="AE167" s="98"/>
      <c r="AF167" s="98"/>
      <c r="AG167" s="91"/>
      <c r="AH167" s="305">
        <v>1</v>
      </c>
      <c r="AI167" s="299">
        <f>+AH167*G167*D167*0.17</f>
        <v>8.447744021130001</v>
      </c>
      <c r="AK167" s="301">
        <f t="shared" ref="AK167" si="426">+IF(D167=0.667,E167*F167*G167,0)</f>
        <v>74.501666999999998</v>
      </c>
      <c r="AL167" s="301">
        <f t="shared" si="401"/>
        <v>0</v>
      </c>
      <c r="AM167" s="301"/>
      <c r="AN167" s="301">
        <f>+IF(D167=0.333,1.33,0)</f>
        <v>0</v>
      </c>
      <c r="AO167" s="299"/>
      <c r="AP167" s="301"/>
      <c r="AQ167" s="301"/>
      <c r="AT167" s="28">
        <f t="shared" si="360"/>
        <v>74.501666999999998</v>
      </c>
    </row>
    <row r="168" spans="2:46" s="28" customFormat="1" ht="20.100000000000001" customHeight="1" x14ac:dyDescent="0.3">
      <c r="B168" s="369"/>
      <c r="C168" s="370"/>
      <c r="D168" s="371"/>
      <c r="E168" s="369"/>
      <c r="F168" s="369"/>
      <c r="G168" s="371"/>
      <c r="H168" s="371"/>
      <c r="I168" s="374"/>
      <c r="J168" s="397"/>
      <c r="K168" s="398"/>
      <c r="L168" s="398"/>
      <c r="M168" s="397"/>
      <c r="N168" s="398"/>
      <c r="O168" s="398"/>
      <c r="P168" s="400"/>
      <c r="Q168" s="398"/>
      <c r="R168" s="398"/>
      <c r="S168" s="399"/>
      <c r="T168" s="399"/>
      <c r="U168" s="369"/>
      <c r="V168" s="373"/>
      <c r="W168" s="374"/>
      <c r="X168" s="374"/>
      <c r="Y168" s="374"/>
      <c r="Z168" s="374"/>
      <c r="AA168" s="374"/>
      <c r="AB168" s="374"/>
      <c r="AC168" s="400"/>
      <c r="AD168" s="374"/>
      <c r="AE168" s="374"/>
      <c r="AF168" s="374"/>
      <c r="AG168" s="400"/>
      <c r="AH168" s="401"/>
      <c r="AI168" s="374"/>
      <c r="AK168" s="378"/>
      <c r="AL168" s="378"/>
      <c r="AM168" s="378"/>
      <c r="AN168" s="378"/>
      <c r="AO168" s="374"/>
      <c r="AP168" s="378"/>
      <c r="AQ168" s="378"/>
      <c r="AT168" s="28">
        <f t="shared" si="360"/>
        <v>0</v>
      </c>
    </row>
    <row r="169" spans="2:46" s="28" customFormat="1" ht="20.100000000000001" customHeight="1" x14ac:dyDescent="0.3">
      <c r="B169" s="92">
        <v>1</v>
      </c>
      <c r="C169" s="93" t="s">
        <v>392</v>
      </c>
      <c r="D169" s="92"/>
      <c r="E169" s="92"/>
      <c r="F169" s="92"/>
      <c r="G169" s="92"/>
      <c r="H169" s="92"/>
      <c r="I169" s="94"/>
      <c r="J169" s="92"/>
      <c r="K169" s="92"/>
      <c r="L169" s="92"/>
      <c r="M169" s="92"/>
      <c r="N169" s="92"/>
      <c r="O169" s="92"/>
      <c r="P169" s="92"/>
      <c r="Q169" s="92"/>
      <c r="R169" s="92"/>
      <c r="S169" s="92"/>
      <c r="T169" s="92"/>
      <c r="U169" s="92"/>
      <c r="V169" s="95"/>
      <c r="W169" s="92"/>
      <c r="X169" s="92"/>
      <c r="Y169" s="92"/>
      <c r="Z169" s="92"/>
      <c r="AA169" s="92"/>
      <c r="AB169" s="92"/>
      <c r="AC169" s="95"/>
      <c r="AD169" s="92"/>
      <c r="AE169" s="92"/>
      <c r="AF169" s="92"/>
      <c r="AG169" s="95"/>
      <c r="AH169" s="304"/>
      <c r="AI169" s="301"/>
      <c r="AK169" s="301"/>
      <c r="AL169" s="301"/>
      <c r="AM169" s="301"/>
      <c r="AN169" s="301"/>
      <c r="AO169" s="299"/>
      <c r="AP169" s="301"/>
      <c r="AQ169" s="301"/>
      <c r="AT169" s="28">
        <f t="shared" si="360"/>
        <v>0</v>
      </c>
    </row>
    <row r="170" spans="2:46" s="28" customFormat="1" ht="20.100000000000001" customHeight="1" x14ac:dyDescent="0.3">
      <c r="B170" s="369"/>
      <c r="C170" s="97" t="s">
        <v>393</v>
      </c>
      <c r="D170" s="371"/>
      <c r="E170" s="369"/>
      <c r="F170" s="369"/>
      <c r="G170" s="371"/>
      <c r="H170" s="371"/>
      <c r="I170" s="372"/>
      <c r="J170" s="371"/>
      <c r="K170" s="371"/>
      <c r="L170" s="371"/>
      <c r="M170" s="371"/>
      <c r="N170" s="371"/>
      <c r="O170" s="371"/>
      <c r="P170" s="371"/>
      <c r="Q170" s="371"/>
      <c r="R170" s="371"/>
      <c r="S170" s="371"/>
      <c r="T170" s="371"/>
      <c r="U170" s="369"/>
      <c r="V170" s="370"/>
      <c r="W170" s="372"/>
      <c r="X170" s="371"/>
      <c r="Y170" s="372"/>
      <c r="Z170" s="371"/>
      <c r="AA170" s="371"/>
      <c r="AB170" s="371"/>
      <c r="AC170" s="370"/>
      <c r="AD170" s="371"/>
      <c r="AE170" s="371"/>
      <c r="AF170" s="371"/>
      <c r="AG170" s="370"/>
      <c r="AH170" s="376"/>
      <c r="AI170" s="372"/>
      <c r="AK170" s="377"/>
      <c r="AL170" s="377"/>
      <c r="AM170" s="377"/>
      <c r="AN170" s="377"/>
      <c r="AO170" s="372"/>
      <c r="AP170" s="377"/>
      <c r="AQ170" s="377"/>
      <c r="AT170" s="28">
        <f t="shared" si="360"/>
        <v>0</v>
      </c>
    </row>
    <row r="171" spans="2:46" s="28" customFormat="1" ht="20.100000000000001" customHeight="1" x14ac:dyDescent="0.3">
      <c r="B171" s="92"/>
      <c r="C171" s="95" t="s">
        <v>33</v>
      </c>
      <c r="D171" s="98">
        <v>0.66700000000000004</v>
      </c>
      <c r="E171" s="92">
        <v>1</v>
      </c>
      <c r="F171" s="92">
        <v>1</v>
      </c>
      <c r="G171" s="555">
        <f>(7.387+0.353+7.867)*3.281</f>
        <v>51.206567</v>
      </c>
      <c r="H171" s="98">
        <f>+D171</f>
        <v>0.66700000000000004</v>
      </c>
      <c r="I171" s="94">
        <v>2</v>
      </c>
      <c r="J171" s="99">
        <v>3</v>
      </c>
      <c r="K171" s="100">
        <f>+IF(D171=0.667,E171*F171*G171*H171*J171,0)</f>
        <v>102.46434056699999</v>
      </c>
      <c r="L171" s="100">
        <f>+IF(D171=0.333,E171*F171*G171*J171,0)</f>
        <v>0</v>
      </c>
      <c r="M171" s="99">
        <v>4</v>
      </c>
      <c r="N171" s="100">
        <f>+IF(D171=0.667,E171*F171*G171*H171*M171,0)</f>
        <v>136.619120756</v>
      </c>
      <c r="O171" s="100">
        <f>+IF(D171=0.333,E171*F171*G171*M171,0)</f>
        <v>0</v>
      </c>
      <c r="P171" s="81">
        <f>11.833-I171-M171-J171</f>
        <v>2.8330000000000002</v>
      </c>
      <c r="Q171" s="100">
        <f>+IF(D171=0.667,E171*F171*G171*H171*P171,0)</f>
        <v>96.760492275437002</v>
      </c>
      <c r="R171" s="100">
        <f>+IF(D171=0.333,E171*F171*G171*P171,0)</f>
        <v>0</v>
      </c>
      <c r="S171" s="101">
        <f t="shared" ref="S171:T176" si="427">+Q171+N171+K171</f>
        <v>335.843953598437</v>
      </c>
      <c r="T171" s="101">
        <f t="shared" si="427"/>
        <v>0</v>
      </c>
      <c r="U171" s="92"/>
      <c r="V171" s="91"/>
      <c r="W171" s="102"/>
      <c r="X171" s="98"/>
      <c r="Y171" s="102"/>
      <c r="Z171" s="98"/>
      <c r="AA171" s="98"/>
      <c r="AB171" s="98"/>
      <c r="AC171" s="91"/>
      <c r="AD171" s="98"/>
      <c r="AE171" s="98"/>
      <c r="AF171" s="98"/>
      <c r="AG171" s="91"/>
      <c r="AH171" s="305">
        <v>1</v>
      </c>
      <c r="AI171" s="299">
        <f>+AH171*G171*D171*0.17</f>
        <v>5.80631263213</v>
      </c>
      <c r="AK171" s="301">
        <f t="shared" ref="AK171" si="428">+IF(D171=0.667,E171*F171*G171,0)</f>
        <v>51.206567</v>
      </c>
      <c r="AL171" s="301">
        <f t="shared" ref="AL171:AL176" si="429">+IF(D171=0.333,E171*F171*G171,0)</f>
        <v>0</v>
      </c>
      <c r="AM171" s="301"/>
      <c r="AN171" s="301">
        <f>+IF(D171=0.333,1.33,0)</f>
        <v>0</v>
      </c>
      <c r="AO171" s="299"/>
      <c r="AP171" s="301"/>
      <c r="AQ171" s="301"/>
      <c r="AT171" s="28">
        <f t="shared" si="360"/>
        <v>51.206567</v>
      </c>
    </row>
    <row r="172" spans="2:46" s="28" customFormat="1" ht="20.100000000000001" customHeight="1" x14ac:dyDescent="0.3">
      <c r="B172" s="92"/>
      <c r="C172" s="95" t="s">
        <v>347</v>
      </c>
      <c r="D172" s="98">
        <v>0.66700000000000004</v>
      </c>
      <c r="E172" s="92">
        <v>-1</v>
      </c>
      <c r="F172" s="92">
        <v>4</v>
      </c>
      <c r="G172" s="555">
        <v>6</v>
      </c>
      <c r="H172" s="98">
        <f t="shared" ref="H172" si="430">+D172</f>
        <v>0.66700000000000004</v>
      </c>
      <c r="I172" s="94"/>
      <c r="J172" s="99"/>
      <c r="K172" s="100">
        <f t="shared" ref="K172" si="431">+IF(D172=0.667,E172*F172*G172*H172*J172,0)</f>
        <v>0</v>
      </c>
      <c r="L172" s="100">
        <f t="shared" ref="L172" si="432">+IF(D172=0.333,E172*F172*G172*J172,0)</f>
        <v>0</v>
      </c>
      <c r="M172" s="99">
        <v>4</v>
      </c>
      <c r="N172" s="100">
        <f t="shared" ref="N172" si="433">+IF(D172=0.667,E172*F172*G172*H172*M172,0)</f>
        <v>-64.032000000000011</v>
      </c>
      <c r="O172" s="100">
        <f t="shared" ref="O172" si="434">+IF(D172=0.333,E172*F172*G172*M172,0)</f>
        <v>0</v>
      </c>
      <c r="P172" s="81">
        <v>0</v>
      </c>
      <c r="Q172" s="100">
        <f t="shared" ref="Q172" si="435">+IF(D172=0.667,E172*F172*G172*H172*P172,0)</f>
        <v>0</v>
      </c>
      <c r="R172" s="100">
        <f t="shared" ref="R172" si="436">+IF(D172=0.333,E172*F172*G172*P172,0)</f>
        <v>0</v>
      </c>
      <c r="S172" s="101">
        <f t="shared" si="427"/>
        <v>-64.032000000000011</v>
      </c>
      <c r="T172" s="101">
        <f t="shared" si="427"/>
        <v>0</v>
      </c>
      <c r="U172" s="92"/>
      <c r="V172" s="91"/>
      <c r="W172" s="102">
        <f>+G172+D172</f>
        <v>6.6669999999999998</v>
      </c>
      <c r="X172" s="98">
        <v>0.5</v>
      </c>
      <c r="Y172" s="102">
        <f>+IF(D172=0.667,-E172*F172*H172*W172*X172,0)</f>
        <v>8.8937780000000011</v>
      </c>
      <c r="Z172" s="98">
        <f>+IF(D172=0.333,-E172*F172*H172*W172*X172,0)</f>
        <v>0</v>
      </c>
      <c r="AA172" s="98">
        <f>+F172*G172*H172</f>
        <v>16.008000000000003</v>
      </c>
      <c r="AB172" s="98">
        <f t="shared" ref="AB172" si="437">2*F172*W172*X172</f>
        <v>26.667999999999999</v>
      </c>
      <c r="AC172" s="91"/>
      <c r="AD172" s="98">
        <v>0.16700000000000001</v>
      </c>
      <c r="AE172" s="98">
        <f t="shared" ref="AE172" si="438">+IF(D172=0.667,AD172*W172*H172*F172,0)</f>
        <v>2.9705218520000001</v>
      </c>
      <c r="AF172" s="98">
        <f t="shared" ref="AF172" si="439">+IF(D172=0.333,AD172*W172*H172*F172,0)</f>
        <v>0</v>
      </c>
      <c r="AG172" s="91"/>
      <c r="AH172" s="305"/>
      <c r="AI172" s="299">
        <f t="shared" ref="AI172" si="440">+AH172*G172*D172*0.17</f>
        <v>0</v>
      </c>
      <c r="AK172" s="301"/>
      <c r="AL172" s="301">
        <f t="shared" si="429"/>
        <v>0</v>
      </c>
      <c r="AM172" s="301"/>
      <c r="AN172" s="301"/>
      <c r="AO172" s="299"/>
      <c r="AP172" s="301"/>
      <c r="AQ172" s="301"/>
      <c r="AT172" s="28">
        <f t="shared" si="360"/>
        <v>-24</v>
      </c>
    </row>
    <row r="173" spans="2:46" s="28" customFormat="1" ht="20.100000000000001" customHeight="1" x14ac:dyDescent="0.3">
      <c r="B173" s="92"/>
      <c r="C173" s="95" t="s">
        <v>31</v>
      </c>
      <c r="D173" s="98">
        <v>0.66700000000000004</v>
      </c>
      <c r="E173" s="415">
        <f>1*0</f>
        <v>0</v>
      </c>
      <c r="F173" s="415">
        <f>1*0</f>
        <v>0</v>
      </c>
      <c r="G173" s="98">
        <f>(6.748+3.585)*3.281</f>
        <v>33.902573000000004</v>
      </c>
      <c r="H173" s="98">
        <f>+D173</f>
        <v>0.66700000000000004</v>
      </c>
      <c r="I173" s="94">
        <v>2</v>
      </c>
      <c r="J173" s="99">
        <v>3</v>
      </c>
      <c r="K173" s="100">
        <f>+IF(D173=0.667,E173*F173*G173*H173*J173,0)</f>
        <v>0</v>
      </c>
      <c r="L173" s="100">
        <f>+IF(D173=0.333,E173*F173*G173*J173,0)</f>
        <v>0</v>
      </c>
      <c r="M173" s="99">
        <v>4</v>
      </c>
      <c r="N173" s="100">
        <f>+IF(D173=0.667,E173*F173*G173*H173*M173,0)</f>
        <v>0</v>
      </c>
      <c r="O173" s="100">
        <f>+IF(D173=0.333,E173*F173*G173*M173,0)</f>
        <v>0</v>
      </c>
      <c r="P173" s="81">
        <f t="shared" ref="P173:P174" si="441">11.833-I173-M173-J173</f>
        <v>2.8330000000000002</v>
      </c>
      <c r="Q173" s="100">
        <f>+IF(D173=0.667,E173*F173*G173*H173*P173,0)</f>
        <v>0</v>
      </c>
      <c r="R173" s="100">
        <f>+IF(D173=0.333,E173*F173*G173*P173,0)</f>
        <v>0</v>
      </c>
      <c r="S173" s="555"/>
      <c r="T173" s="101">
        <f t="shared" si="427"/>
        <v>0</v>
      </c>
      <c r="U173" s="92"/>
      <c r="V173" s="91"/>
      <c r="W173" s="102"/>
      <c r="X173" s="98"/>
      <c r="Y173" s="102"/>
      <c r="Z173" s="98"/>
      <c r="AA173" s="98"/>
      <c r="AB173" s="98"/>
      <c r="AC173" s="91"/>
      <c r="AD173" s="98"/>
      <c r="AE173" s="98"/>
      <c r="AF173" s="98"/>
      <c r="AG173" s="91"/>
      <c r="AH173" s="305">
        <v>1</v>
      </c>
      <c r="AI173" s="299">
        <f>+AH173*G173*D173*0.17</f>
        <v>3.8442127524700007</v>
      </c>
      <c r="AK173" s="301">
        <f t="shared" ref="AK173:AK176" si="442">+IF(D173=0.667,E173*F173*G173,0)</f>
        <v>0</v>
      </c>
      <c r="AL173" s="301">
        <f t="shared" si="429"/>
        <v>0</v>
      </c>
      <c r="AM173" s="301"/>
      <c r="AN173" s="301">
        <f>+IF(D173=0.333,1.33,0)</f>
        <v>0</v>
      </c>
      <c r="AO173" s="299"/>
      <c r="AP173" s="301"/>
      <c r="AQ173" s="301"/>
      <c r="AT173" s="28">
        <f t="shared" si="360"/>
        <v>0</v>
      </c>
    </row>
    <row r="174" spans="2:46" s="28" customFormat="1" ht="20.100000000000001" customHeight="1" x14ac:dyDescent="0.3">
      <c r="B174" s="92"/>
      <c r="C174" s="95" t="s">
        <v>32</v>
      </c>
      <c r="D174" s="98">
        <v>0.66700000000000004</v>
      </c>
      <c r="E174" s="415">
        <f>1*0</f>
        <v>0</v>
      </c>
      <c r="F174" s="415">
        <f>1*0</f>
        <v>0</v>
      </c>
      <c r="G174" s="98">
        <f>(6.994+7.766)*3.281</f>
        <v>48.42756</v>
      </c>
      <c r="H174" s="98">
        <f>+D174</f>
        <v>0.66700000000000004</v>
      </c>
      <c r="I174" s="94">
        <v>2</v>
      </c>
      <c r="J174" s="99">
        <v>3</v>
      </c>
      <c r="K174" s="100">
        <f>+IF(D174=0.667,E174*F174*G174*H174*J174,0)</f>
        <v>0</v>
      </c>
      <c r="L174" s="100">
        <f>+IF(D174=0.333,E174*F174*G174*J174,0)</f>
        <v>0</v>
      </c>
      <c r="M174" s="99">
        <v>4</v>
      </c>
      <c r="N174" s="100">
        <f>+IF(D174=0.667,E174*F174*G174*H174*M174,0)</f>
        <v>0</v>
      </c>
      <c r="O174" s="100">
        <f>+IF(D174=0.333,E174*F174*G174*M174,0)</f>
        <v>0</v>
      </c>
      <c r="P174" s="81">
        <f t="shared" si="441"/>
        <v>2.8330000000000002</v>
      </c>
      <c r="Q174" s="100">
        <f>+IF(D174=0.667,E174*F174*G174*H174*P174,0)</f>
        <v>0</v>
      </c>
      <c r="R174" s="100">
        <f>+IF(D174=0.333,E174*F174*G174*P174,0)</f>
        <v>0</v>
      </c>
      <c r="S174" s="555"/>
      <c r="T174" s="101">
        <f t="shared" si="427"/>
        <v>0</v>
      </c>
      <c r="U174" s="92"/>
      <c r="V174" s="91"/>
      <c r="W174" s="102"/>
      <c r="X174" s="98"/>
      <c r="Y174" s="102"/>
      <c r="Z174" s="98"/>
      <c r="AA174" s="98"/>
      <c r="AB174" s="98"/>
      <c r="AC174" s="91"/>
      <c r="AD174" s="98"/>
      <c r="AE174" s="98"/>
      <c r="AF174" s="98"/>
      <c r="AG174" s="91"/>
      <c r="AH174" s="305">
        <v>1</v>
      </c>
      <c r="AI174" s="299">
        <f>+AH174*G174*D174*0.17</f>
        <v>5.4912010284000008</v>
      </c>
      <c r="AK174" s="301">
        <f t="shared" si="442"/>
        <v>0</v>
      </c>
      <c r="AL174" s="301">
        <f t="shared" si="429"/>
        <v>0</v>
      </c>
      <c r="AM174" s="301"/>
      <c r="AN174" s="301">
        <f>+IF(D174=0.333,1.33,0)</f>
        <v>0</v>
      </c>
      <c r="AO174" s="299"/>
      <c r="AP174" s="301"/>
      <c r="AQ174" s="301"/>
      <c r="AT174" s="28">
        <f t="shared" si="360"/>
        <v>0</v>
      </c>
    </row>
    <row r="175" spans="2:46" s="28" customFormat="1" ht="20.100000000000001" customHeight="1" x14ac:dyDescent="0.3">
      <c r="B175" s="92"/>
      <c r="C175" s="95" t="s">
        <v>335</v>
      </c>
      <c r="D175" s="98">
        <v>0.66700000000000004</v>
      </c>
      <c r="E175" s="415">
        <f>-1*0</f>
        <v>0</v>
      </c>
      <c r="F175" s="415">
        <f>1*0</f>
        <v>0</v>
      </c>
      <c r="G175" s="98">
        <f>3.5+3.5</f>
        <v>7</v>
      </c>
      <c r="H175" s="98">
        <f>+D175</f>
        <v>0.66700000000000004</v>
      </c>
      <c r="I175" s="102"/>
      <c r="J175" s="99">
        <v>3</v>
      </c>
      <c r="K175" s="100">
        <f>+IF(D175=0.667,E175*F175*G175*H175*J175,0)</f>
        <v>0</v>
      </c>
      <c r="L175" s="100">
        <f>+IF(D175=0.333,E175*F175*G175*J175,0)</f>
        <v>0</v>
      </c>
      <c r="M175" s="99">
        <v>4</v>
      </c>
      <c r="N175" s="100">
        <f>+IF(D175=0.667,E175*F175*G175*H175*M175,0)</f>
        <v>0</v>
      </c>
      <c r="O175" s="100">
        <f>+IF(D175=0.333,E175*F175*G175*M175,0)</f>
        <v>0</v>
      </c>
      <c r="P175" s="99">
        <v>0.5</v>
      </c>
      <c r="Q175" s="100">
        <f>+IF(D175=0.667,E175*F175*G175*H175*P175,0)</f>
        <v>0</v>
      </c>
      <c r="R175" s="100">
        <f>+IF(D175=0.333,E175*F175*G175*P175,0)</f>
        <v>0</v>
      </c>
      <c r="S175" s="555"/>
      <c r="T175" s="101">
        <f t="shared" si="427"/>
        <v>0</v>
      </c>
      <c r="U175" s="92"/>
      <c r="V175" s="91"/>
      <c r="W175" s="98">
        <f>+G175+D175*2</f>
        <v>8.3339999999999996</v>
      </c>
      <c r="X175" s="98">
        <v>0.5</v>
      </c>
      <c r="Y175" s="98">
        <f>+IF(D175=0.667,-E175*F175*H175*W175*X175,0)</f>
        <v>0</v>
      </c>
      <c r="Z175" s="98">
        <f>+IF(D175=0.333,-E175*F175*H175*W175*X175,0)</f>
        <v>0</v>
      </c>
      <c r="AA175" s="98">
        <f>+F175*G175*H175</f>
        <v>0</v>
      </c>
      <c r="AB175" s="98">
        <f t="shared" ref="AB175" si="443">2*F175*W175*X175</f>
        <v>0</v>
      </c>
      <c r="AC175" s="91"/>
      <c r="AD175" s="98"/>
      <c r="AE175" s="98">
        <f>+IF(D175=0.667,AD175*W175*H175*F175,0)</f>
        <v>0</v>
      </c>
      <c r="AF175" s="98">
        <f>+IF(D175=0.333,AD175*W175*H175*F175,0)</f>
        <v>0</v>
      </c>
      <c r="AG175" s="91"/>
      <c r="AH175" s="304"/>
      <c r="AI175" s="299">
        <f>+AH175*G175*D175*0.17</f>
        <v>0</v>
      </c>
      <c r="AK175" s="301">
        <f t="shared" si="442"/>
        <v>0</v>
      </c>
      <c r="AL175" s="301">
        <f t="shared" si="429"/>
        <v>0</v>
      </c>
      <c r="AM175" s="301">
        <f>+IF(D175=0.667,1.33,0)*0</f>
        <v>0</v>
      </c>
      <c r="AN175" s="301"/>
      <c r="AO175" s="299"/>
      <c r="AP175" s="301"/>
      <c r="AQ175" s="301"/>
      <c r="AT175" s="28">
        <f t="shared" si="360"/>
        <v>0</v>
      </c>
    </row>
    <row r="176" spans="2:46" s="28" customFormat="1" ht="20.100000000000001" customHeight="1" x14ac:dyDescent="0.3">
      <c r="B176" s="92"/>
      <c r="C176" s="95" t="s">
        <v>38</v>
      </c>
      <c r="D176" s="98">
        <v>0.66700000000000004</v>
      </c>
      <c r="E176" s="415">
        <f>1*0</f>
        <v>0</v>
      </c>
      <c r="F176" s="415">
        <f>1*0</f>
        <v>0</v>
      </c>
      <c r="G176" s="98">
        <f>(3.587+5.224)*3.281</f>
        <v>28.908891000000001</v>
      </c>
      <c r="H176" s="98">
        <f>+D176</f>
        <v>0.66700000000000004</v>
      </c>
      <c r="I176" s="94">
        <v>2</v>
      </c>
      <c r="J176" s="99">
        <v>3</v>
      </c>
      <c r="K176" s="100">
        <f>+IF(D176=0.667,E176*F176*G176*H176*J176,0)</f>
        <v>0</v>
      </c>
      <c r="L176" s="100">
        <f>+IF(D176=0.333,E176*F176*G176*J176,0)</f>
        <v>0</v>
      </c>
      <c r="M176" s="99">
        <v>4</v>
      </c>
      <c r="N176" s="100">
        <f>+IF(D176=0.667,E176*F176*G176*H176*M176,0)</f>
        <v>0</v>
      </c>
      <c r="O176" s="100">
        <f>+IF(D176=0.333,E176*F176*G176*M176,0)</f>
        <v>0</v>
      </c>
      <c r="P176" s="81">
        <f>11.833-I176-M176-J176</f>
        <v>2.8330000000000002</v>
      </c>
      <c r="Q176" s="100">
        <f>+IF(D176=0.667,E176*F176*G176*H176*P176,0)</f>
        <v>0</v>
      </c>
      <c r="R176" s="100">
        <f>+IF(D176=0.333,E176*F176*G176*P176,0)</f>
        <v>0</v>
      </c>
      <c r="S176" s="555"/>
      <c r="T176" s="101">
        <f t="shared" si="427"/>
        <v>0</v>
      </c>
      <c r="U176" s="92"/>
      <c r="V176" s="91"/>
      <c r="W176" s="102"/>
      <c r="X176" s="98"/>
      <c r="Y176" s="102"/>
      <c r="Z176" s="98"/>
      <c r="AA176" s="98"/>
      <c r="AB176" s="98"/>
      <c r="AC176" s="91"/>
      <c r="AD176" s="98"/>
      <c r="AE176" s="98"/>
      <c r="AF176" s="98"/>
      <c r="AG176" s="91"/>
      <c r="AH176" s="305">
        <v>1</v>
      </c>
      <c r="AI176" s="299">
        <f>+AH176*G176*D176*0.17</f>
        <v>3.2779791504900007</v>
      </c>
      <c r="AK176" s="301">
        <f t="shared" si="442"/>
        <v>0</v>
      </c>
      <c r="AL176" s="301">
        <f t="shared" si="429"/>
        <v>0</v>
      </c>
      <c r="AM176" s="301"/>
      <c r="AN176" s="301">
        <f>+IF(D176=0.333,1.33,0)</f>
        <v>0</v>
      </c>
      <c r="AO176" s="299"/>
      <c r="AP176" s="301"/>
      <c r="AQ176" s="301"/>
      <c r="AT176" s="28">
        <f t="shared" si="360"/>
        <v>0</v>
      </c>
    </row>
    <row r="177" spans="2:46" s="28" customFormat="1" ht="20.100000000000001" customHeight="1" x14ac:dyDescent="0.3">
      <c r="B177" s="369"/>
      <c r="C177" s="395"/>
      <c r="D177" s="371"/>
      <c r="E177" s="369"/>
      <c r="F177" s="369"/>
      <c r="G177" s="371"/>
      <c r="H177" s="371"/>
      <c r="I177" s="372"/>
      <c r="J177" s="371"/>
      <c r="K177" s="371"/>
      <c r="L177" s="371"/>
      <c r="M177" s="371"/>
      <c r="N177" s="371"/>
      <c r="O177" s="371"/>
      <c r="P177" s="371"/>
      <c r="Q177" s="371"/>
      <c r="R177" s="371"/>
      <c r="S177" s="371"/>
      <c r="T177" s="371"/>
      <c r="U177" s="369"/>
      <c r="V177" s="370"/>
      <c r="W177" s="372"/>
      <c r="X177" s="371"/>
      <c r="Y177" s="372"/>
      <c r="Z177" s="371"/>
      <c r="AA177" s="371"/>
      <c r="AB177" s="371"/>
      <c r="AC177" s="370"/>
      <c r="AD177" s="371"/>
      <c r="AE177" s="371"/>
      <c r="AF177" s="371"/>
      <c r="AG177" s="370"/>
      <c r="AH177" s="376"/>
      <c r="AI177" s="372"/>
      <c r="AK177" s="377"/>
      <c r="AL177" s="377"/>
      <c r="AM177" s="377"/>
      <c r="AN177" s="377"/>
      <c r="AO177" s="372"/>
      <c r="AP177" s="377"/>
      <c r="AQ177" s="377"/>
      <c r="AT177" s="28">
        <f t="shared" si="360"/>
        <v>0</v>
      </c>
    </row>
    <row r="178" spans="2:46" s="28" customFormat="1" ht="20.100000000000001" customHeight="1" x14ac:dyDescent="0.3">
      <c r="B178" s="369"/>
      <c r="C178" s="97" t="s">
        <v>394</v>
      </c>
      <c r="D178" s="371"/>
      <c r="E178" s="369"/>
      <c r="F178" s="369"/>
      <c r="G178" s="371"/>
      <c r="H178" s="371"/>
      <c r="I178" s="372"/>
      <c r="J178" s="371"/>
      <c r="K178" s="371"/>
      <c r="L178" s="371"/>
      <c r="M178" s="371"/>
      <c r="N178" s="371"/>
      <c r="O178" s="371"/>
      <c r="P178" s="371"/>
      <c r="Q178" s="371"/>
      <c r="R178" s="371"/>
      <c r="S178" s="371"/>
      <c r="T178" s="371"/>
      <c r="U178" s="369"/>
      <c r="V178" s="370"/>
      <c r="W178" s="372"/>
      <c r="X178" s="371"/>
      <c r="Y178" s="372"/>
      <c r="Z178" s="371"/>
      <c r="AA178" s="371"/>
      <c r="AB178" s="371"/>
      <c r="AC178" s="370"/>
      <c r="AD178" s="371"/>
      <c r="AE178" s="371"/>
      <c r="AF178" s="371"/>
      <c r="AG178" s="370"/>
      <c r="AH178" s="376"/>
      <c r="AI178" s="372"/>
      <c r="AK178" s="377"/>
      <c r="AL178" s="377"/>
      <c r="AM178" s="377"/>
      <c r="AN178" s="377"/>
      <c r="AO178" s="372"/>
      <c r="AP178" s="377"/>
      <c r="AQ178" s="377"/>
      <c r="AT178" s="28">
        <f t="shared" si="360"/>
        <v>0</v>
      </c>
    </row>
    <row r="179" spans="2:46" s="28" customFormat="1" ht="20.100000000000001" customHeight="1" x14ac:dyDescent="0.3">
      <c r="B179" s="92"/>
      <c r="C179" s="95" t="s">
        <v>33</v>
      </c>
      <c r="D179" s="98">
        <v>0.66700000000000004</v>
      </c>
      <c r="E179" s="92">
        <v>1</v>
      </c>
      <c r="F179" s="92">
        <v>1</v>
      </c>
      <c r="G179" s="555">
        <f>(7.634+7.772)*3.281</f>
        <v>50.547086000000007</v>
      </c>
      <c r="H179" s="98">
        <f>+D179</f>
        <v>0.66700000000000004</v>
      </c>
      <c r="I179" s="94">
        <v>2</v>
      </c>
      <c r="J179" s="99">
        <v>3</v>
      </c>
      <c r="K179" s="100">
        <f>+IF(D179=0.667,E179*F179*G179*H179*J179,0)</f>
        <v>101.14471908600002</v>
      </c>
      <c r="L179" s="100">
        <f>+IF(D179=0.333,E179*F179*G179*J179,0)</f>
        <v>0</v>
      </c>
      <c r="M179" s="99">
        <v>4</v>
      </c>
      <c r="N179" s="100">
        <f>+IF(D179=0.667,E179*F179*G179*H179*M179,0)</f>
        <v>134.85962544800003</v>
      </c>
      <c r="O179" s="100">
        <f>+IF(D179=0.333,E179*F179*G179*M179,0)</f>
        <v>0</v>
      </c>
      <c r="P179" s="81">
        <f>11.833-I179-M179-J179</f>
        <v>2.8330000000000002</v>
      </c>
      <c r="Q179" s="100">
        <f>+IF(D179=0.667,E179*F179*G179*H179*P179,0)</f>
        <v>95.514329723546027</v>
      </c>
      <c r="R179" s="100">
        <f>+IF(D179=0.333,E179*F179*G179*P179,0)</f>
        <v>0</v>
      </c>
      <c r="S179" s="101">
        <f t="shared" ref="S179:T183" si="444">+Q179+N179+K179</f>
        <v>331.51867425754608</v>
      </c>
      <c r="T179" s="101">
        <f t="shared" si="444"/>
        <v>0</v>
      </c>
      <c r="U179" s="92"/>
      <c r="V179" s="91"/>
      <c r="W179" s="102"/>
      <c r="X179" s="98"/>
      <c r="Y179" s="102"/>
      <c r="Z179" s="98"/>
      <c r="AA179" s="98"/>
      <c r="AB179" s="98"/>
      <c r="AC179" s="91"/>
      <c r="AD179" s="98"/>
      <c r="AE179" s="98"/>
      <c r="AF179" s="98"/>
      <c r="AG179" s="91"/>
      <c r="AH179" s="305">
        <v>1</v>
      </c>
      <c r="AI179" s="299">
        <f>+AH179*G179*D179*0.17</f>
        <v>5.7315340815400013</v>
      </c>
      <c r="AK179" s="301">
        <f t="shared" ref="AK179" si="445">+IF(D179=0.667,E179*F179*G179,0)</f>
        <v>50.547086000000007</v>
      </c>
      <c r="AL179" s="301">
        <f t="shared" ref="AL179:AL183" si="446">+IF(D179=0.333,E179*F179*G179,0)</f>
        <v>0</v>
      </c>
      <c r="AM179" s="301"/>
      <c r="AN179" s="301">
        <f>+IF(D179=0.333,1.33,0)</f>
        <v>0</v>
      </c>
      <c r="AO179" s="299"/>
      <c r="AP179" s="301"/>
      <c r="AQ179" s="301"/>
      <c r="AT179" s="28">
        <f t="shared" si="360"/>
        <v>50.547086000000007</v>
      </c>
    </row>
    <row r="180" spans="2:46" s="28" customFormat="1" ht="20.100000000000001" customHeight="1" x14ac:dyDescent="0.3">
      <c r="B180" s="92"/>
      <c r="C180" s="95" t="s">
        <v>347</v>
      </c>
      <c r="D180" s="98">
        <v>0.66700000000000004</v>
      </c>
      <c r="E180" s="92">
        <v>-1</v>
      </c>
      <c r="F180" s="92">
        <v>4</v>
      </c>
      <c r="G180" s="555">
        <v>6</v>
      </c>
      <c r="H180" s="98">
        <f t="shared" ref="H180" si="447">+D180</f>
        <v>0.66700000000000004</v>
      </c>
      <c r="I180" s="94"/>
      <c r="J180" s="99"/>
      <c r="K180" s="100">
        <f t="shared" ref="K180" si="448">+IF(D180=0.667,E180*F180*G180*H180*J180,0)</f>
        <v>0</v>
      </c>
      <c r="L180" s="100">
        <f t="shared" ref="L180" si="449">+IF(D180=0.333,E180*F180*G180*J180,0)</f>
        <v>0</v>
      </c>
      <c r="M180" s="99">
        <v>4</v>
      </c>
      <c r="N180" s="100">
        <f t="shared" ref="N180" si="450">+IF(D180=0.667,E180*F180*G180*H180*M180,0)</f>
        <v>-64.032000000000011</v>
      </c>
      <c r="O180" s="100">
        <f t="shared" ref="O180" si="451">+IF(D180=0.333,E180*F180*G180*M180,0)</f>
        <v>0</v>
      </c>
      <c r="P180" s="81">
        <v>0</v>
      </c>
      <c r="Q180" s="100">
        <f t="shared" ref="Q180" si="452">+IF(D180=0.667,E180*F180*G180*H180*P180,0)</f>
        <v>0</v>
      </c>
      <c r="R180" s="100">
        <f t="shared" ref="R180" si="453">+IF(D180=0.333,E180*F180*G180*P180,0)</f>
        <v>0</v>
      </c>
      <c r="S180" s="101">
        <f t="shared" si="444"/>
        <v>-64.032000000000011</v>
      </c>
      <c r="T180" s="101">
        <f t="shared" si="444"/>
        <v>0</v>
      </c>
      <c r="U180" s="92"/>
      <c r="V180" s="91"/>
      <c r="W180" s="102">
        <f>+G180+D180</f>
        <v>6.6669999999999998</v>
      </c>
      <c r="X180" s="98">
        <v>0.5</v>
      </c>
      <c r="Y180" s="102">
        <f>+IF(D180=0.667,-E180*F180*H180*W180*X180,0)</f>
        <v>8.8937780000000011</v>
      </c>
      <c r="Z180" s="98">
        <f>+IF(D180=0.333,-E180*F180*H180*W180*X180,0)</f>
        <v>0</v>
      </c>
      <c r="AA180" s="98">
        <f>+F180*G180*H180</f>
        <v>16.008000000000003</v>
      </c>
      <c r="AB180" s="98">
        <f t="shared" ref="AB180" si="454">2*F180*W180*X180</f>
        <v>26.667999999999999</v>
      </c>
      <c r="AC180" s="91"/>
      <c r="AD180" s="98">
        <v>0.16700000000000001</v>
      </c>
      <c r="AE180" s="98">
        <f t="shared" ref="AE180" si="455">+IF(D180=0.667,AD180*W180*H180*F180,0)</f>
        <v>2.9705218520000001</v>
      </c>
      <c r="AF180" s="98">
        <f t="shared" ref="AF180" si="456">+IF(D180=0.333,AD180*W180*H180*F180,0)</f>
        <v>0</v>
      </c>
      <c r="AG180" s="91"/>
      <c r="AH180" s="305"/>
      <c r="AI180" s="299">
        <f t="shared" ref="AI180" si="457">+AH180*G180*D180*0.17</f>
        <v>0</v>
      </c>
      <c r="AK180" s="301"/>
      <c r="AL180" s="301">
        <f t="shared" si="446"/>
        <v>0</v>
      </c>
      <c r="AM180" s="301"/>
      <c r="AN180" s="301"/>
      <c r="AO180" s="299"/>
      <c r="AP180" s="301"/>
      <c r="AQ180" s="301"/>
      <c r="AT180" s="28">
        <f t="shared" si="360"/>
        <v>-24</v>
      </c>
    </row>
    <row r="181" spans="2:46" s="28" customFormat="1" ht="20.100000000000001" customHeight="1" x14ac:dyDescent="0.3">
      <c r="B181" s="92"/>
      <c r="C181" s="95" t="s">
        <v>31</v>
      </c>
      <c r="D181" s="98">
        <v>0.66700000000000004</v>
      </c>
      <c r="E181" s="415">
        <f>1*0</f>
        <v>0</v>
      </c>
      <c r="F181" s="415">
        <f>1*0</f>
        <v>0</v>
      </c>
      <c r="G181" s="98">
        <f>(6.748+3.585)*3.281</f>
        <v>33.902573000000004</v>
      </c>
      <c r="H181" s="98">
        <f>+D181</f>
        <v>0.66700000000000004</v>
      </c>
      <c r="I181" s="94">
        <v>2</v>
      </c>
      <c r="J181" s="99">
        <v>3</v>
      </c>
      <c r="K181" s="100">
        <f>+IF(D181=0.667,E181*F181*G181*H181*J181,0)</f>
        <v>0</v>
      </c>
      <c r="L181" s="100">
        <f>+IF(D181=0.333,E181*F181*G181*J181,0)</f>
        <v>0</v>
      </c>
      <c r="M181" s="99">
        <v>4</v>
      </c>
      <c r="N181" s="100">
        <f>+IF(D181=0.667,E181*F181*G181*H181*M181,0)</f>
        <v>0</v>
      </c>
      <c r="O181" s="100">
        <f>+IF(D181=0.333,E181*F181*G181*M181,0)</f>
        <v>0</v>
      </c>
      <c r="P181" s="81">
        <f t="shared" ref="P181:P182" si="458">11.833-I181-M181-J181</f>
        <v>2.8330000000000002</v>
      </c>
      <c r="Q181" s="100">
        <f>+IF(D181=0.667,E181*F181*G181*H181*P181,0)</f>
        <v>0</v>
      </c>
      <c r="R181" s="100">
        <f>+IF(D181=0.333,E181*F181*G181*P181,0)</f>
        <v>0</v>
      </c>
      <c r="S181" s="555"/>
      <c r="T181" s="101">
        <f t="shared" si="444"/>
        <v>0</v>
      </c>
      <c r="U181" s="92"/>
      <c r="V181" s="91"/>
      <c r="W181" s="102"/>
      <c r="X181" s="98"/>
      <c r="Y181" s="102"/>
      <c r="Z181" s="98"/>
      <c r="AA181" s="98"/>
      <c r="AB181" s="98"/>
      <c r="AC181" s="91"/>
      <c r="AD181" s="98"/>
      <c r="AE181" s="98"/>
      <c r="AF181" s="98"/>
      <c r="AG181" s="91"/>
      <c r="AH181" s="305">
        <v>1</v>
      </c>
      <c r="AI181" s="299">
        <f>+AH181*G181*D181*0.17</f>
        <v>3.8442127524700007</v>
      </c>
      <c r="AK181" s="301">
        <f t="shared" ref="AK181:AK183" si="459">+IF(D181=0.667,E181*F181*G181,0)</f>
        <v>0</v>
      </c>
      <c r="AL181" s="301">
        <f t="shared" si="446"/>
        <v>0</v>
      </c>
      <c r="AM181" s="301"/>
      <c r="AN181" s="301">
        <f>+IF(D181=0.333,1.33,0)</f>
        <v>0</v>
      </c>
      <c r="AO181" s="299"/>
      <c r="AP181" s="301"/>
      <c r="AQ181" s="301"/>
      <c r="AT181" s="28">
        <f t="shared" si="360"/>
        <v>0</v>
      </c>
    </row>
    <row r="182" spans="2:46" s="28" customFormat="1" ht="20.100000000000001" customHeight="1" x14ac:dyDescent="0.3">
      <c r="B182" s="92"/>
      <c r="C182" s="95" t="s">
        <v>32</v>
      </c>
      <c r="D182" s="98">
        <v>0.66700000000000004</v>
      </c>
      <c r="E182" s="415">
        <f>1*0</f>
        <v>0</v>
      </c>
      <c r="F182" s="415">
        <f>1*0</f>
        <v>0</v>
      </c>
      <c r="G182" s="98">
        <f>(7.629+7.653)*3.281</f>
        <v>50.140242000000001</v>
      </c>
      <c r="H182" s="98">
        <f>+D182</f>
        <v>0.66700000000000004</v>
      </c>
      <c r="I182" s="94">
        <v>2</v>
      </c>
      <c r="J182" s="99">
        <v>3</v>
      </c>
      <c r="K182" s="100">
        <f>+IF(D182=0.667,E182*F182*G182*H182*J182,0)</f>
        <v>0</v>
      </c>
      <c r="L182" s="100">
        <f>+IF(D182=0.333,E182*F182*G182*J182,0)</f>
        <v>0</v>
      </c>
      <c r="M182" s="99">
        <v>4</v>
      </c>
      <c r="N182" s="100">
        <f>+IF(D182=0.667,E182*F182*G182*H182*M182,0)</f>
        <v>0</v>
      </c>
      <c r="O182" s="100">
        <f>+IF(D182=0.333,E182*F182*G182*M182,0)</f>
        <v>0</v>
      </c>
      <c r="P182" s="81">
        <f t="shared" si="458"/>
        <v>2.8330000000000002</v>
      </c>
      <c r="Q182" s="100">
        <f>+IF(D182=0.667,E182*F182*G182*H182*P182,0)</f>
        <v>0</v>
      </c>
      <c r="R182" s="100">
        <f>+IF(D182=0.333,E182*F182*G182*P182,0)</f>
        <v>0</v>
      </c>
      <c r="S182" s="555"/>
      <c r="T182" s="101">
        <f t="shared" si="444"/>
        <v>0</v>
      </c>
      <c r="U182" s="92"/>
      <c r="V182" s="91"/>
      <c r="W182" s="102"/>
      <c r="X182" s="98"/>
      <c r="Y182" s="102"/>
      <c r="Z182" s="98"/>
      <c r="AA182" s="98"/>
      <c r="AB182" s="98"/>
      <c r="AC182" s="91"/>
      <c r="AD182" s="98"/>
      <c r="AE182" s="98"/>
      <c r="AF182" s="98"/>
      <c r="AG182" s="91"/>
      <c r="AH182" s="305">
        <v>1</v>
      </c>
      <c r="AI182" s="299">
        <f>+AH182*G182*D182*0.17</f>
        <v>5.6854020403800005</v>
      </c>
      <c r="AK182" s="301">
        <f t="shared" si="459"/>
        <v>0</v>
      </c>
      <c r="AL182" s="301">
        <f t="shared" si="446"/>
        <v>0</v>
      </c>
      <c r="AM182" s="301"/>
      <c r="AN182" s="301">
        <f>+IF(D182=0.333,1.33,0)</f>
        <v>0</v>
      </c>
      <c r="AO182" s="299"/>
      <c r="AP182" s="301"/>
      <c r="AQ182" s="301"/>
      <c r="AT182" s="28">
        <f t="shared" si="360"/>
        <v>0</v>
      </c>
    </row>
    <row r="183" spans="2:46" s="28" customFormat="1" ht="20.100000000000001" customHeight="1" x14ac:dyDescent="0.3">
      <c r="B183" s="92"/>
      <c r="C183" s="95" t="s">
        <v>335</v>
      </c>
      <c r="D183" s="98">
        <v>0.66700000000000004</v>
      </c>
      <c r="E183" s="415">
        <f>-1*0</f>
        <v>0</v>
      </c>
      <c r="F183" s="415">
        <f>1*0</f>
        <v>0</v>
      </c>
      <c r="G183" s="98">
        <f>3.5+3.5</f>
        <v>7</v>
      </c>
      <c r="H183" s="98">
        <f>+D183</f>
        <v>0.66700000000000004</v>
      </c>
      <c r="I183" s="102"/>
      <c r="J183" s="99">
        <v>3</v>
      </c>
      <c r="K183" s="100">
        <f>+IF(D183=0.667,E183*F183*G183*H183*J183,0)</f>
        <v>0</v>
      </c>
      <c r="L183" s="100">
        <f>+IF(D183=0.333,E183*F183*G183*J183,0)</f>
        <v>0</v>
      </c>
      <c r="M183" s="99">
        <v>4</v>
      </c>
      <c r="N183" s="100">
        <f>+IF(D183=0.667,E183*F183*G183*H183*M183,0)</f>
        <v>0</v>
      </c>
      <c r="O183" s="100">
        <f>+IF(D183=0.333,E183*F183*G183*M183,0)</f>
        <v>0</v>
      </c>
      <c r="P183" s="99">
        <v>0.5</v>
      </c>
      <c r="Q183" s="100">
        <f>+IF(D183=0.667,E183*F183*G183*H183*P183,0)</f>
        <v>0</v>
      </c>
      <c r="R183" s="100">
        <f>+IF(D183=0.333,E183*F183*G183*P183,0)</f>
        <v>0</v>
      </c>
      <c r="S183" s="555"/>
      <c r="T183" s="101">
        <f t="shared" si="444"/>
        <v>0</v>
      </c>
      <c r="U183" s="92"/>
      <c r="V183" s="91"/>
      <c r="W183" s="98">
        <f>+G183+D183*2</f>
        <v>8.3339999999999996</v>
      </c>
      <c r="X183" s="98">
        <v>0.5</v>
      </c>
      <c r="Y183" s="98">
        <f>+IF(D183=0.667,-E183*F183*H183*W183*X183,0)</f>
        <v>0</v>
      </c>
      <c r="Z183" s="98">
        <f>+IF(D183=0.333,-E183*F183*H183*W183*X183,0)</f>
        <v>0</v>
      </c>
      <c r="AA183" s="98">
        <f>+F183*G183*H183</f>
        <v>0</v>
      </c>
      <c r="AB183" s="98">
        <f t="shared" ref="AB183" si="460">2*F183*W183*X183</f>
        <v>0</v>
      </c>
      <c r="AC183" s="91"/>
      <c r="AD183" s="98"/>
      <c r="AE183" s="98">
        <f>+IF(D183=0.667,AD183*W183*H183*F183,0)</f>
        <v>0</v>
      </c>
      <c r="AF183" s="98">
        <f>+IF(D183=0.333,AD183*W183*H183*F183,0)</f>
        <v>0</v>
      </c>
      <c r="AG183" s="91"/>
      <c r="AH183" s="304"/>
      <c r="AI183" s="299">
        <f>+AH183*G183*D183*0.17</f>
        <v>0</v>
      </c>
      <c r="AK183" s="301">
        <f t="shared" si="459"/>
        <v>0</v>
      </c>
      <c r="AL183" s="301">
        <f t="shared" si="446"/>
        <v>0</v>
      </c>
      <c r="AM183" s="301">
        <f>+IF(D183=0.667,1.33,0)*0</f>
        <v>0</v>
      </c>
      <c r="AN183" s="301"/>
      <c r="AO183" s="299"/>
      <c r="AP183" s="301"/>
      <c r="AQ183" s="301"/>
      <c r="AT183" s="28">
        <f t="shared" si="360"/>
        <v>0</v>
      </c>
    </row>
    <row r="184" spans="2:46" s="28" customFormat="1" ht="20.100000000000001" customHeight="1" x14ac:dyDescent="0.3">
      <c r="B184" s="369"/>
      <c r="C184" s="370"/>
      <c r="D184" s="371"/>
      <c r="E184" s="369"/>
      <c r="F184" s="369"/>
      <c r="G184" s="371"/>
      <c r="H184" s="371"/>
      <c r="I184" s="374"/>
      <c r="J184" s="397"/>
      <c r="K184" s="398"/>
      <c r="L184" s="398"/>
      <c r="M184" s="397"/>
      <c r="N184" s="398"/>
      <c r="O184" s="398"/>
      <c r="P184" s="397"/>
      <c r="Q184" s="398"/>
      <c r="R184" s="398"/>
      <c r="S184" s="399"/>
      <c r="T184" s="399"/>
      <c r="U184" s="369"/>
      <c r="V184" s="373"/>
      <c r="W184" s="374"/>
      <c r="X184" s="374"/>
      <c r="Y184" s="374"/>
      <c r="Z184" s="374"/>
      <c r="AA184" s="374"/>
      <c r="AB184" s="374"/>
      <c r="AC184" s="400"/>
      <c r="AD184" s="374"/>
      <c r="AE184" s="374"/>
      <c r="AF184" s="374"/>
      <c r="AG184" s="400"/>
      <c r="AH184" s="401"/>
      <c r="AI184" s="374"/>
      <c r="AK184" s="378"/>
      <c r="AL184" s="378"/>
      <c r="AM184" s="378"/>
      <c r="AN184" s="378"/>
      <c r="AO184" s="374"/>
      <c r="AP184" s="378"/>
      <c r="AQ184" s="378"/>
      <c r="AT184" s="28">
        <f t="shared" si="360"/>
        <v>0</v>
      </c>
    </row>
    <row r="185" spans="2:46" s="28" customFormat="1" ht="20.100000000000001" customHeight="1" x14ac:dyDescent="0.3">
      <c r="B185" s="369"/>
      <c r="C185" s="97" t="s">
        <v>395</v>
      </c>
      <c r="D185" s="371"/>
      <c r="E185" s="369"/>
      <c r="F185" s="369"/>
      <c r="G185" s="371"/>
      <c r="H185" s="371"/>
      <c r="I185" s="372"/>
      <c r="J185" s="371"/>
      <c r="K185" s="371"/>
      <c r="L185" s="371"/>
      <c r="M185" s="371"/>
      <c r="N185" s="371"/>
      <c r="O185" s="371"/>
      <c r="P185" s="371"/>
      <c r="Q185" s="371"/>
      <c r="R185" s="371"/>
      <c r="S185" s="371"/>
      <c r="T185" s="371"/>
      <c r="U185" s="369"/>
      <c r="V185" s="370"/>
      <c r="W185" s="372"/>
      <c r="X185" s="371"/>
      <c r="Y185" s="372"/>
      <c r="Z185" s="371"/>
      <c r="AA185" s="371"/>
      <c r="AB185" s="371"/>
      <c r="AC185" s="370"/>
      <c r="AD185" s="371"/>
      <c r="AE185" s="371"/>
      <c r="AF185" s="371"/>
      <c r="AG185" s="370"/>
      <c r="AH185" s="376"/>
      <c r="AI185" s="372"/>
      <c r="AK185" s="377"/>
      <c r="AL185" s="377"/>
      <c r="AM185" s="377"/>
      <c r="AN185" s="377"/>
      <c r="AO185" s="372"/>
      <c r="AP185" s="377"/>
      <c r="AQ185" s="377"/>
      <c r="AT185" s="28">
        <f t="shared" si="360"/>
        <v>0</v>
      </c>
    </row>
    <row r="186" spans="2:46" s="28" customFormat="1" ht="20.100000000000001" customHeight="1" x14ac:dyDescent="0.3">
      <c r="B186" s="92"/>
      <c r="C186" s="95" t="s">
        <v>33</v>
      </c>
      <c r="D186" s="98">
        <v>0.66700000000000004</v>
      </c>
      <c r="E186" s="92">
        <v>1</v>
      </c>
      <c r="F186" s="92">
        <v>1</v>
      </c>
      <c r="G186" s="98">
        <f>(5.173+7.713+3.617)*3.281</f>
        <v>54.146343000000002</v>
      </c>
      <c r="H186" s="98">
        <f>+D186</f>
        <v>0.66700000000000004</v>
      </c>
      <c r="I186" s="94">
        <v>2</v>
      </c>
      <c r="J186" s="99">
        <v>3</v>
      </c>
      <c r="K186" s="100">
        <f>+IF(D186=0.667,E186*F186*G186*H186*J186,0)</f>
        <v>108.346832343</v>
      </c>
      <c r="L186" s="100">
        <f>+IF(D186=0.333,E186*F186*G186*J186,0)</f>
        <v>0</v>
      </c>
      <c r="M186" s="99">
        <v>4</v>
      </c>
      <c r="N186" s="100">
        <f>+IF(D186=0.667,E186*F186*G186*H186*M186,0)</f>
        <v>144.462443124</v>
      </c>
      <c r="O186" s="100">
        <f>+IF(D186=0.333,E186*F186*G186*M186,0)</f>
        <v>0</v>
      </c>
      <c r="P186" s="81">
        <f>11.833-I186-M186-J186</f>
        <v>2.8330000000000002</v>
      </c>
      <c r="Q186" s="100">
        <f>+IF(D186=0.667,E186*F186*G186*H186*P186,0)</f>
        <v>102.31552534257301</v>
      </c>
      <c r="R186" s="100">
        <f>+IF(D186=0.333,E186*F186*G186*P186,0)</f>
        <v>0</v>
      </c>
      <c r="S186" s="101">
        <f t="shared" ref="S186:T190" si="461">+Q186+N186+K186</f>
        <v>355.124800809573</v>
      </c>
      <c r="T186" s="101">
        <f t="shared" si="461"/>
        <v>0</v>
      </c>
      <c r="U186" s="92"/>
      <c r="V186" s="91"/>
      <c r="W186" s="102"/>
      <c r="X186" s="98"/>
      <c r="Y186" s="102"/>
      <c r="Z186" s="98"/>
      <c r="AA186" s="98"/>
      <c r="AB186" s="98"/>
      <c r="AC186" s="91"/>
      <c r="AD186" s="98"/>
      <c r="AE186" s="98"/>
      <c r="AF186" s="98"/>
      <c r="AG186" s="91"/>
      <c r="AH186" s="305">
        <v>1</v>
      </c>
      <c r="AI186" s="299">
        <f>+AH186*G186*D186*0.17</f>
        <v>6.1396538327700005</v>
      </c>
      <c r="AK186" s="301">
        <f t="shared" ref="AK186" si="462">+IF(D186=0.667,E186*F186*G186,0)</f>
        <v>54.146343000000002</v>
      </c>
      <c r="AL186" s="301">
        <f t="shared" ref="AL186:AL190" si="463">+IF(D186=0.333,E186*F186*G186,0)</f>
        <v>0</v>
      </c>
      <c r="AM186" s="301"/>
      <c r="AN186" s="301">
        <f>+IF(D186=0.333,1.33,0)</f>
        <v>0</v>
      </c>
      <c r="AO186" s="299"/>
      <c r="AP186" s="301"/>
      <c r="AQ186" s="301"/>
      <c r="AT186" s="28">
        <f t="shared" si="360"/>
        <v>54.146343000000002</v>
      </c>
    </row>
    <row r="187" spans="2:46" s="28" customFormat="1" ht="20.100000000000001" customHeight="1" x14ac:dyDescent="0.3">
      <c r="B187" s="92"/>
      <c r="C187" s="95" t="s">
        <v>347</v>
      </c>
      <c r="D187" s="98">
        <v>0.66700000000000004</v>
      </c>
      <c r="E187" s="92">
        <v>-1</v>
      </c>
      <c r="F187" s="92">
        <v>4</v>
      </c>
      <c r="G187" s="98">
        <v>6</v>
      </c>
      <c r="H187" s="98">
        <f t="shared" ref="H187" si="464">+D187</f>
        <v>0.66700000000000004</v>
      </c>
      <c r="I187" s="94"/>
      <c r="J187" s="99"/>
      <c r="K187" s="100">
        <f t="shared" ref="K187" si="465">+IF(D187=0.667,E187*F187*G187*H187*J187,0)</f>
        <v>0</v>
      </c>
      <c r="L187" s="100">
        <f t="shared" ref="L187" si="466">+IF(D187=0.333,E187*F187*G187*J187,0)</f>
        <v>0</v>
      </c>
      <c r="M187" s="99">
        <v>4</v>
      </c>
      <c r="N187" s="100">
        <f t="shared" ref="N187" si="467">+IF(D187=0.667,E187*F187*G187*H187*M187,0)</f>
        <v>-64.032000000000011</v>
      </c>
      <c r="O187" s="100">
        <f t="shared" ref="O187" si="468">+IF(D187=0.333,E187*F187*G187*M187,0)</f>
        <v>0</v>
      </c>
      <c r="P187" s="81">
        <v>0</v>
      </c>
      <c r="Q187" s="100">
        <f t="shared" ref="Q187" si="469">+IF(D187=0.667,E187*F187*G187*H187*P187,0)</f>
        <v>0</v>
      </c>
      <c r="R187" s="100">
        <f t="shared" ref="R187" si="470">+IF(D187=0.333,E187*F187*G187*P187,0)</f>
        <v>0</v>
      </c>
      <c r="S187" s="101">
        <f t="shared" si="461"/>
        <v>-64.032000000000011</v>
      </c>
      <c r="T187" s="101">
        <f t="shared" si="461"/>
        <v>0</v>
      </c>
      <c r="U187" s="92"/>
      <c r="V187" s="91"/>
      <c r="W187" s="102">
        <f>+G187+D187</f>
        <v>6.6669999999999998</v>
      </c>
      <c r="X187" s="98">
        <v>0.5</v>
      </c>
      <c r="Y187" s="102">
        <f>+IF(D187=0.667,-E187*F187*H187*W187*X187,0)</f>
        <v>8.8937780000000011</v>
      </c>
      <c r="Z187" s="98">
        <f>+IF(D187=0.333,-E187*F187*H187*W187*X187,0)</f>
        <v>0</v>
      </c>
      <c r="AA187" s="98">
        <f>+F187*G187*H187</f>
        <v>16.008000000000003</v>
      </c>
      <c r="AB187" s="98">
        <f t="shared" ref="AB187" si="471">2*F187*W187*X187</f>
        <v>26.667999999999999</v>
      </c>
      <c r="AC187" s="91"/>
      <c r="AD187" s="98">
        <v>0.16700000000000001</v>
      </c>
      <c r="AE187" s="98">
        <f t="shared" ref="AE187" si="472">+IF(D187=0.667,AD187*W187*H187*F187,0)</f>
        <v>2.9705218520000001</v>
      </c>
      <c r="AF187" s="98">
        <f t="shared" ref="AF187" si="473">+IF(D187=0.333,AD187*W187*H187*F187,0)</f>
        <v>0</v>
      </c>
      <c r="AG187" s="91"/>
      <c r="AH187" s="305"/>
      <c r="AI187" s="299">
        <f t="shared" ref="AI187" si="474">+AH187*G187*D187*0.17</f>
        <v>0</v>
      </c>
      <c r="AK187" s="301"/>
      <c r="AL187" s="301">
        <f t="shared" si="463"/>
        <v>0</v>
      </c>
      <c r="AM187" s="301"/>
      <c r="AN187" s="301"/>
      <c r="AO187" s="299"/>
      <c r="AP187" s="301"/>
      <c r="AQ187" s="301"/>
      <c r="AT187" s="28">
        <f t="shared" si="360"/>
        <v>-24</v>
      </c>
    </row>
    <row r="188" spans="2:46" s="28" customFormat="1" ht="20.100000000000001" customHeight="1" x14ac:dyDescent="0.3">
      <c r="B188" s="92"/>
      <c r="C188" s="95" t="s">
        <v>31</v>
      </c>
      <c r="D188" s="98">
        <v>0.66700000000000004</v>
      </c>
      <c r="E188" s="415">
        <f>1*0</f>
        <v>0</v>
      </c>
      <c r="F188" s="415">
        <f>1*0</f>
        <v>0</v>
      </c>
      <c r="G188" s="98">
        <f>(10.917+2.537)*3.281</f>
        <v>44.142574000000003</v>
      </c>
      <c r="H188" s="98">
        <f>+D188</f>
        <v>0.66700000000000004</v>
      </c>
      <c r="I188" s="94">
        <v>2</v>
      </c>
      <c r="J188" s="99">
        <v>3</v>
      </c>
      <c r="K188" s="100">
        <f>+IF(D188=0.667,E188*F188*G188*H188*J188,0)</f>
        <v>0</v>
      </c>
      <c r="L188" s="100">
        <f>+IF(D188=0.333,E188*F188*G188*J188,0)</f>
        <v>0</v>
      </c>
      <c r="M188" s="99">
        <v>4</v>
      </c>
      <c r="N188" s="100">
        <f>+IF(D188=0.667,E188*F188*G188*H188*M188,0)</f>
        <v>0</v>
      </c>
      <c r="O188" s="100">
        <f>+IF(D188=0.333,E188*F188*G188*M188,0)</f>
        <v>0</v>
      </c>
      <c r="P188" s="81">
        <f>11.833-I188-M188-J188</f>
        <v>2.8330000000000002</v>
      </c>
      <c r="Q188" s="100">
        <f>+IF(D188=0.667,E188*F188*G188*H188*P188,0)</f>
        <v>0</v>
      </c>
      <c r="R188" s="100">
        <f>+IF(D188=0.333,E188*F188*G188*P188,0)</f>
        <v>0</v>
      </c>
      <c r="S188" s="555"/>
      <c r="T188" s="101">
        <f t="shared" si="461"/>
        <v>0</v>
      </c>
      <c r="U188" s="92"/>
      <c r="V188" s="91"/>
      <c r="W188" s="102"/>
      <c r="X188" s="98"/>
      <c r="Y188" s="102"/>
      <c r="Z188" s="98"/>
      <c r="AA188" s="98"/>
      <c r="AB188" s="98"/>
      <c r="AC188" s="91"/>
      <c r="AD188" s="98"/>
      <c r="AE188" s="98"/>
      <c r="AF188" s="98"/>
      <c r="AG188" s="91"/>
      <c r="AH188" s="305">
        <v>1</v>
      </c>
      <c r="AI188" s="299">
        <f>+AH188*G188*D188*0.17</f>
        <v>5.0053264658600014</v>
      </c>
      <c r="AK188" s="301">
        <f t="shared" ref="AK188:AK190" si="475">+IF(D188=0.667,E188*F188*G188,0)</f>
        <v>0</v>
      </c>
      <c r="AL188" s="301">
        <f t="shared" si="463"/>
        <v>0</v>
      </c>
      <c r="AM188" s="301"/>
      <c r="AN188" s="301">
        <f>+IF(D188=0.333,1.33,0)</f>
        <v>0</v>
      </c>
      <c r="AO188" s="299"/>
      <c r="AP188" s="301"/>
      <c r="AQ188" s="301"/>
      <c r="AT188" s="28">
        <f t="shared" si="360"/>
        <v>0</v>
      </c>
    </row>
    <row r="189" spans="2:46" s="28" customFormat="1" ht="20.100000000000001" customHeight="1" x14ac:dyDescent="0.3">
      <c r="B189" s="92"/>
      <c r="C189" s="95" t="s">
        <v>335</v>
      </c>
      <c r="D189" s="98">
        <v>0.66700000000000004</v>
      </c>
      <c r="E189" s="415">
        <f>-1*0</f>
        <v>0</v>
      </c>
      <c r="F189" s="415">
        <f>1*0</f>
        <v>0</v>
      </c>
      <c r="G189" s="98">
        <f>3.5+3.5</f>
        <v>7</v>
      </c>
      <c r="H189" s="98">
        <f>+D189</f>
        <v>0.66700000000000004</v>
      </c>
      <c r="I189" s="102"/>
      <c r="J189" s="99">
        <v>3</v>
      </c>
      <c r="K189" s="100">
        <f>+IF(D189=0.667,E189*F189*G189*H189*J189,0)</f>
        <v>0</v>
      </c>
      <c r="L189" s="100">
        <f>+IF(D189=0.333,E189*F189*G189*J189,0)</f>
        <v>0</v>
      </c>
      <c r="M189" s="99">
        <v>4</v>
      </c>
      <c r="N189" s="100">
        <f>+IF(D189=0.667,E189*F189*G189*H189*M189,0)</f>
        <v>0</v>
      </c>
      <c r="O189" s="100">
        <f>+IF(D189=0.333,E189*F189*G189*M189,0)</f>
        <v>0</v>
      </c>
      <c r="P189" s="99">
        <v>0.5</v>
      </c>
      <c r="Q189" s="100">
        <f>+IF(D189=0.667,E189*F189*G189*H189*P189,0)</f>
        <v>0</v>
      </c>
      <c r="R189" s="100">
        <f>+IF(D189=0.333,E189*F189*G189*P189,0)</f>
        <v>0</v>
      </c>
      <c r="S189" s="555"/>
      <c r="T189" s="101">
        <f t="shared" si="461"/>
        <v>0</v>
      </c>
      <c r="U189" s="92"/>
      <c r="V189" s="91"/>
      <c r="W189" s="98">
        <f>+G189+D189*2</f>
        <v>8.3339999999999996</v>
      </c>
      <c r="X189" s="98">
        <v>0.5</v>
      </c>
      <c r="Y189" s="98">
        <f>+IF(D189=0.667,-E189*F189*H189*W189*X189,0)</f>
        <v>0</v>
      </c>
      <c r="Z189" s="98">
        <f>+IF(D189=0.333,-E189*F189*H189*W189*X189,0)</f>
        <v>0</v>
      </c>
      <c r="AA189" s="98">
        <f>+F189*G189*H189</f>
        <v>0</v>
      </c>
      <c r="AB189" s="98">
        <f t="shared" ref="AB189" si="476">2*F189*W189*X189</f>
        <v>0</v>
      </c>
      <c r="AC189" s="91"/>
      <c r="AD189" s="98"/>
      <c r="AE189" s="98">
        <f>+IF(D189=0.667,AD189*W189*H189*F189,0)</f>
        <v>0</v>
      </c>
      <c r="AF189" s="98">
        <f>+IF(D189=0.333,AD189*W189*H189*F189,0)</f>
        <v>0</v>
      </c>
      <c r="AG189" s="91"/>
      <c r="AH189" s="304"/>
      <c r="AI189" s="299">
        <f>+AH189*G189*D189*0.17</f>
        <v>0</v>
      </c>
      <c r="AK189" s="301">
        <f t="shared" si="475"/>
        <v>0</v>
      </c>
      <c r="AL189" s="301">
        <f t="shared" si="463"/>
        <v>0</v>
      </c>
      <c r="AM189" s="301">
        <f>+IF(D189=0.667,1.33,0)*0</f>
        <v>0</v>
      </c>
      <c r="AN189" s="301"/>
      <c r="AO189" s="299"/>
      <c r="AP189" s="301"/>
      <c r="AQ189" s="301"/>
      <c r="AT189" s="28">
        <f t="shared" si="360"/>
        <v>0</v>
      </c>
    </row>
    <row r="190" spans="2:46" s="28" customFormat="1" ht="20.100000000000001" customHeight="1" x14ac:dyDescent="0.3">
      <c r="B190" s="92"/>
      <c r="C190" s="95" t="s">
        <v>32</v>
      </c>
      <c r="D190" s="98">
        <v>0.66700000000000004</v>
      </c>
      <c r="E190" s="415">
        <f>1*0</f>
        <v>0</v>
      </c>
      <c r="F190" s="415">
        <f>1*0</f>
        <v>0</v>
      </c>
      <c r="G190" s="98">
        <f>(5.099+7.649+0.981+7.64)*3.281</f>
        <v>70.111688999999998</v>
      </c>
      <c r="H190" s="98">
        <f>+D190</f>
        <v>0.66700000000000004</v>
      </c>
      <c r="I190" s="94">
        <v>2</v>
      </c>
      <c r="J190" s="99">
        <v>3</v>
      </c>
      <c r="K190" s="100">
        <f>+IF(D190=0.667,E190*F190*G190*H190*J190,0)</f>
        <v>0</v>
      </c>
      <c r="L190" s="100">
        <f>+IF(D190=0.333,E190*F190*G190*J190,0)</f>
        <v>0</v>
      </c>
      <c r="M190" s="99">
        <v>4</v>
      </c>
      <c r="N190" s="100">
        <f>+IF(D190=0.667,E190*F190*G190*H190*M190,0)</f>
        <v>0</v>
      </c>
      <c r="O190" s="100">
        <f>+IF(D190=0.333,E190*F190*G190*M190,0)</f>
        <v>0</v>
      </c>
      <c r="P190" s="81">
        <f>11.833-I190-M190-J190</f>
        <v>2.8330000000000002</v>
      </c>
      <c r="Q190" s="100">
        <f>+IF(D190=0.667,E190*F190*G190*H190*P190,0)</f>
        <v>0</v>
      </c>
      <c r="R190" s="100">
        <f>+IF(D190=0.333,E190*F190*G190*P190,0)</f>
        <v>0</v>
      </c>
      <c r="S190" s="555"/>
      <c r="T190" s="101">
        <f t="shared" si="461"/>
        <v>0</v>
      </c>
      <c r="U190" s="92"/>
      <c r="V190" s="91"/>
      <c r="W190" s="102"/>
      <c r="X190" s="98"/>
      <c r="Y190" s="102"/>
      <c r="Z190" s="98"/>
      <c r="AA190" s="98"/>
      <c r="AB190" s="98"/>
      <c r="AC190" s="91"/>
      <c r="AD190" s="98"/>
      <c r="AE190" s="98"/>
      <c r="AF190" s="98"/>
      <c r="AG190" s="91"/>
      <c r="AH190" s="305">
        <v>1</v>
      </c>
      <c r="AI190" s="299">
        <f>+AH190*G190*D190*0.17</f>
        <v>7.9499644157100011</v>
      </c>
      <c r="AK190" s="301">
        <f t="shared" si="475"/>
        <v>0</v>
      </c>
      <c r="AL190" s="301">
        <f t="shared" si="463"/>
        <v>0</v>
      </c>
      <c r="AM190" s="301"/>
      <c r="AN190" s="301">
        <f>+IF(D190=0.333,1.33,0)</f>
        <v>0</v>
      </c>
      <c r="AO190" s="299"/>
      <c r="AP190" s="301"/>
      <c r="AQ190" s="301"/>
      <c r="AT190" s="28">
        <f t="shared" si="360"/>
        <v>0</v>
      </c>
    </row>
    <row r="191" spans="2:46" s="28" customFormat="1" ht="20.100000000000001" customHeight="1" x14ac:dyDescent="0.3">
      <c r="B191" s="369"/>
      <c r="C191" s="395"/>
      <c r="D191" s="371"/>
      <c r="E191" s="369"/>
      <c r="F191" s="369"/>
      <c r="G191" s="371"/>
      <c r="H191" s="371"/>
      <c r="I191" s="372"/>
      <c r="J191" s="371"/>
      <c r="K191" s="371"/>
      <c r="L191" s="371"/>
      <c r="M191" s="371"/>
      <c r="N191" s="371"/>
      <c r="O191" s="371"/>
      <c r="P191" s="371"/>
      <c r="Q191" s="371"/>
      <c r="R191" s="371"/>
      <c r="S191" s="371"/>
      <c r="T191" s="371"/>
      <c r="U191" s="369"/>
      <c r="V191" s="370"/>
      <c r="W191" s="372"/>
      <c r="X191" s="371"/>
      <c r="Y191" s="372"/>
      <c r="Z191" s="371"/>
      <c r="AA191" s="371"/>
      <c r="AB191" s="371"/>
      <c r="AC191" s="370"/>
      <c r="AD191" s="371"/>
      <c r="AE191" s="371"/>
      <c r="AF191" s="371"/>
      <c r="AG191" s="370"/>
      <c r="AH191" s="376"/>
      <c r="AI191" s="372"/>
      <c r="AK191" s="377"/>
      <c r="AL191" s="377"/>
      <c r="AM191" s="377"/>
      <c r="AN191" s="377"/>
      <c r="AO191" s="372"/>
      <c r="AP191" s="377"/>
      <c r="AQ191" s="377"/>
      <c r="AT191" s="28">
        <f t="shared" si="360"/>
        <v>0</v>
      </c>
    </row>
    <row r="192" spans="2:46" s="28" customFormat="1" ht="20.100000000000001" customHeight="1" x14ac:dyDescent="0.3">
      <c r="B192" s="369"/>
      <c r="C192" s="97" t="s">
        <v>396</v>
      </c>
      <c r="D192" s="371"/>
      <c r="E192" s="369"/>
      <c r="F192" s="369"/>
      <c r="G192" s="371"/>
      <c r="H192" s="371"/>
      <c r="I192" s="372"/>
      <c r="J192" s="371"/>
      <c r="K192" s="371"/>
      <c r="L192" s="371"/>
      <c r="M192" s="371"/>
      <c r="N192" s="371"/>
      <c r="O192" s="371"/>
      <c r="P192" s="371"/>
      <c r="Q192" s="371"/>
      <c r="R192" s="371"/>
      <c r="S192" s="371"/>
      <c r="T192" s="371"/>
      <c r="U192" s="369"/>
      <c r="V192" s="370"/>
      <c r="W192" s="372"/>
      <c r="X192" s="371"/>
      <c r="Y192" s="372"/>
      <c r="Z192" s="371"/>
      <c r="AA192" s="371"/>
      <c r="AB192" s="371"/>
      <c r="AC192" s="370"/>
      <c r="AD192" s="371"/>
      <c r="AE192" s="371"/>
      <c r="AF192" s="371"/>
      <c r="AG192" s="370"/>
      <c r="AH192" s="376"/>
      <c r="AI192" s="372"/>
      <c r="AK192" s="377"/>
      <c r="AL192" s="377"/>
      <c r="AM192" s="377"/>
      <c r="AN192" s="377"/>
      <c r="AO192" s="372"/>
      <c r="AP192" s="377"/>
      <c r="AQ192" s="377"/>
      <c r="AT192" s="28">
        <f t="shared" si="360"/>
        <v>0</v>
      </c>
    </row>
    <row r="193" spans="2:46" s="28" customFormat="1" ht="20.100000000000001" customHeight="1" x14ac:dyDescent="0.3">
      <c r="B193" s="92"/>
      <c r="C193" s="95" t="s">
        <v>33</v>
      </c>
      <c r="D193" s="98">
        <v>0.66700000000000004</v>
      </c>
      <c r="E193" s="92">
        <v>1</v>
      </c>
      <c r="F193" s="92">
        <v>1</v>
      </c>
      <c r="G193" s="555">
        <f>(4.098+8.165+7.763)*3.281</f>
        <v>65.705305999999993</v>
      </c>
      <c r="H193" s="98">
        <f>+D193</f>
        <v>0.66700000000000004</v>
      </c>
      <c r="I193" s="94">
        <v>2</v>
      </c>
      <c r="J193" s="99">
        <v>3</v>
      </c>
      <c r="K193" s="100">
        <f>+IF(D193=0.667,E193*F193*G193*H193*J193,0)</f>
        <v>131.476317306</v>
      </c>
      <c r="L193" s="100">
        <f>+IF(D193=0.333,E193*F193*G193*J193,0)</f>
        <v>0</v>
      </c>
      <c r="M193" s="99">
        <v>4</v>
      </c>
      <c r="N193" s="100">
        <f>+IF(D193=0.667,E193*F193*G193*H193*M193,0)</f>
        <v>175.30175640799999</v>
      </c>
      <c r="O193" s="100">
        <f>+IF(D193=0.333,E193*F193*G193*M193,0)</f>
        <v>0</v>
      </c>
      <c r="P193" s="81">
        <f>11.833-I193-M193-J193</f>
        <v>2.8330000000000002</v>
      </c>
      <c r="Q193" s="100">
        <f>+IF(D193=0.667,E193*F193*G193*H193*P193,0)</f>
        <v>124.157468975966</v>
      </c>
      <c r="R193" s="100">
        <f>+IF(D193=0.333,E193*F193*G193*P193,0)</f>
        <v>0</v>
      </c>
      <c r="S193" s="101">
        <f t="shared" ref="S193:T200" si="477">+Q193+N193+K193</f>
        <v>430.93554268996598</v>
      </c>
      <c r="T193" s="101">
        <f t="shared" si="477"/>
        <v>0</v>
      </c>
      <c r="U193" s="92"/>
      <c r="V193" s="91"/>
      <c r="W193" s="102"/>
      <c r="X193" s="98"/>
      <c r="Y193" s="102"/>
      <c r="Z193" s="98"/>
      <c r="AA193" s="98"/>
      <c r="AB193" s="98"/>
      <c r="AC193" s="91"/>
      <c r="AD193" s="98"/>
      <c r="AE193" s="98"/>
      <c r="AF193" s="98"/>
      <c r="AG193" s="91"/>
      <c r="AH193" s="305">
        <v>1</v>
      </c>
      <c r="AI193" s="299">
        <f>+AH193*G193*D193*0.17</f>
        <v>7.4503246473400004</v>
      </c>
      <c r="AK193" s="301">
        <f t="shared" ref="AK193" si="478">+IF(D193=0.667,E193*F193*G193,0)</f>
        <v>65.705305999999993</v>
      </c>
      <c r="AL193" s="301">
        <f t="shared" ref="AL193:AL199" si="479">+IF(D193=0.333,E193*F193*G193,0)</f>
        <v>0</v>
      </c>
      <c r="AM193" s="301"/>
      <c r="AN193" s="301">
        <f>+IF(D193=0.333,1.33,0)</f>
        <v>0</v>
      </c>
      <c r="AO193" s="299"/>
      <c r="AP193" s="301"/>
      <c r="AQ193" s="301"/>
      <c r="AT193" s="28">
        <f t="shared" si="360"/>
        <v>65.705305999999993</v>
      </c>
    </row>
    <row r="194" spans="2:46" s="28" customFormat="1" ht="20.100000000000001" customHeight="1" x14ac:dyDescent="0.3">
      <c r="B194" s="92"/>
      <c r="C194" s="95" t="s">
        <v>347</v>
      </c>
      <c r="D194" s="98">
        <v>0.66700000000000004</v>
      </c>
      <c r="E194" s="92">
        <v>-1</v>
      </c>
      <c r="F194" s="92">
        <v>5</v>
      </c>
      <c r="G194" s="555">
        <v>6</v>
      </c>
      <c r="H194" s="98">
        <f t="shared" ref="H194" si="480">+D194</f>
        <v>0.66700000000000004</v>
      </c>
      <c r="I194" s="94"/>
      <c r="J194" s="99"/>
      <c r="K194" s="100">
        <f t="shared" ref="K194" si="481">+IF(D194=0.667,E194*F194*G194*H194*J194,0)</f>
        <v>0</v>
      </c>
      <c r="L194" s="100">
        <f t="shared" ref="L194" si="482">+IF(D194=0.333,E194*F194*G194*J194,0)</f>
        <v>0</v>
      </c>
      <c r="M194" s="99">
        <v>4</v>
      </c>
      <c r="N194" s="100">
        <f t="shared" ref="N194" si="483">+IF(D194=0.667,E194*F194*G194*H194*M194,0)</f>
        <v>-80.040000000000006</v>
      </c>
      <c r="O194" s="100">
        <f t="shared" ref="O194" si="484">+IF(D194=0.333,E194*F194*G194*M194,0)</f>
        <v>0</v>
      </c>
      <c r="P194" s="81">
        <v>0</v>
      </c>
      <c r="Q194" s="100">
        <f t="shared" ref="Q194" si="485">+IF(D194=0.667,E194*F194*G194*H194*P194,0)</f>
        <v>0</v>
      </c>
      <c r="R194" s="100">
        <f t="shared" ref="R194" si="486">+IF(D194=0.333,E194*F194*G194*P194,0)</f>
        <v>0</v>
      </c>
      <c r="S194" s="101">
        <f t="shared" si="477"/>
        <v>-80.040000000000006</v>
      </c>
      <c r="T194" s="101">
        <f t="shared" si="477"/>
        <v>0</v>
      </c>
      <c r="U194" s="92"/>
      <c r="V194" s="91"/>
      <c r="W194" s="102">
        <f>+G194+D194</f>
        <v>6.6669999999999998</v>
      </c>
      <c r="X194" s="98">
        <v>0.5</v>
      </c>
      <c r="Y194" s="102">
        <f>+IF(D194=0.667,-E194*F194*H194*W194*X194,0)</f>
        <v>11.1172225</v>
      </c>
      <c r="Z194" s="98">
        <f>+IF(D194=0.333,-E194*F194*H194*W194*X194,0)</f>
        <v>0</v>
      </c>
      <c r="AA194" s="98">
        <f>+F194*G194*H194</f>
        <v>20.010000000000002</v>
      </c>
      <c r="AB194" s="98">
        <f t="shared" ref="AB194" si="487">2*F194*W194*X194</f>
        <v>33.335000000000001</v>
      </c>
      <c r="AC194" s="91"/>
      <c r="AD194" s="98">
        <v>0.16700000000000001</v>
      </c>
      <c r="AE194" s="98">
        <f t="shared" ref="AE194" si="488">+IF(D194=0.667,AD194*W194*H194*F194,0)</f>
        <v>3.7131523150000003</v>
      </c>
      <c r="AF194" s="98">
        <f t="shared" ref="AF194" si="489">+IF(D194=0.333,AD194*W194*H194*F194,0)</f>
        <v>0</v>
      </c>
      <c r="AG194" s="91"/>
      <c r="AH194" s="305"/>
      <c r="AI194" s="299">
        <f t="shared" ref="AI194" si="490">+AH194*G194*D194*0.17</f>
        <v>0</v>
      </c>
      <c r="AK194" s="301"/>
      <c r="AL194" s="301">
        <f t="shared" si="479"/>
        <v>0</v>
      </c>
      <c r="AM194" s="301"/>
      <c r="AN194" s="301"/>
      <c r="AO194" s="299"/>
      <c r="AP194" s="301"/>
      <c r="AQ194" s="301"/>
      <c r="AT194" s="28">
        <f t="shared" si="360"/>
        <v>-30</v>
      </c>
    </row>
    <row r="195" spans="2:46" s="28" customFormat="1" ht="20.100000000000001" customHeight="1" x14ac:dyDescent="0.3">
      <c r="B195" s="92"/>
      <c r="C195" s="95" t="s">
        <v>31</v>
      </c>
      <c r="D195" s="98">
        <v>0.66700000000000004</v>
      </c>
      <c r="E195" s="92">
        <v>1</v>
      </c>
      <c r="F195" s="92">
        <v>1</v>
      </c>
      <c r="G195" s="555">
        <f>(6.785+5.38+4.6)*3.281</f>
        <v>55.005965000000003</v>
      </c>
      <c r="H195" s="98">
        <f>+D195</f>
        <v>0.66700000000000004</v>
      </c>
      <c r="I195" s="94">
        <v>2</v>
      </c>
      <c r="J195" s="99">
        <v>3</v>
      </c>
      <c r="K195" s="100">
        <f>+IF(D195=0.667,E195*F195*G195*H195*J195,0)</f>
        <v>110.06693596500003</v>
      </c>
      <c r="L195" s="100">
        <f>+IF(D195=0.333,E195*F195*G195*J195,0)</f>
        <v>0</v>
      </c>
      <c r="M195" s="99">
        <v>4</v>
      </c>
      <c r="N195" s="100">
        <f>+IF(D195=0.667,E195*F195*G195*H195*M195,0)</f>
        <v>146.75591462000003</v>
      </c>
      <c r="O195" s="100">
        <f>+IF(D195=0.333,E195*F195*G195*M195,0)</f>
        <v>0</v>
      </c>
      <c r="P195" s="81">
        <f>11.833-I195-M195-J195</f>
        <v>2.8330000000000002</v>
      </c>
      <c r="Q195" s="100">
        <f>+IF(D195=0.667,E195*F195*G195*H195*P195,0)</f>
        <v>103.93987652961502</v>
      </c>
      <c r="R195" s="100">
        <f>+IF(D195=0.333,E195*F195*G195*P195,0)</f>
        <v>0</v>
      </c>
      <c r="S195" s="101">
        <f t="shared" si="477"/>
        <v>360.76272711461507</v>
      </c>
      <c r="T195" s="101">
        <f t="shared" si="477"/>
        <v>0</v>
      </c>
      <c r="U195" s="92"/>
      <c r="V195" s="91"/>
      <c r="W195" s="102"/>
      <c r="X195" s="98"/>
      <c r="Y195" s="102"/>
      <c r="Z195" s="98"/>
      <c r="AA195" s="98"/>
      <c r="AB195" s="98"/>
      <c r="AC195" s="91"/>
      <c r="AD195" s="98"/>
      <c r="AE195" s="98"/>
      <c r="AF195" s="98"/>
      <c r="AG195" s="91"/>
      <c r="AH195" s="305">
        <v>1</v>
      </c>
      <c r="AI195" s="299">
        <f>+AH195*G195*D195*0.17</f>
        <v>6.2371263713500014</v>
      </c>
      <c r="AK195" s="301">
        <f t="shared" ref="AK195:AK199" si="491">+IF(D195=0.667,E195*F195*G195,0)</f>
        <v>55.005965000000003</v>
      </c>
      <c r="AL195" s="301">
        <f t="shared" si="479"/>
        <v>0</v>
      </c>
      <c r="AM195" s="301"/>
      <c r="AN195" s="301">
        <f>+IF(D195=0.333,1.33,0)</f>
        <v>0</v>
      </c>
      <c r="AO195" s="299"/>
      <c r="AP195" s="301"/>
      <c r="AQ195" s="301"/>
      <c r="AT195" s="28">
        <f t="shared" si="360"/>
        <v>55.005965000000003</v>
      </c>
    </row>
    <row r="196" spans="2:46" s="28" customFormat="1" ht="20.100000000000001" customHeight="1" x14ac:dyDescent="0.3">
      <c r="B196" s="92"/>
      <c r="C196" s="95" t="s">
        <v>347</v>
      </c>
      <c r="D196" s="98">
        <v>0.66700000000000004</v>
      </c>
      <c r="E196" s="92">
        <v>-1</v>
      </c>
      <c r="F196" s="92">
        <v>1</v>
      </c>
      <c r="G196" s="555">
        <v>6</v>
      </c>
      <c r="H196" s="98">
        <f t="shared" ref="H196:H197" si="492">+D196</f>
        <v>0.66700000000000004</v>
      </c>
      <c r="I196" s="94"/>
      <c r="J196" s="99"/>
      <c r="K196" s="100">
        <f t="shared" ref="K196:K197" si="493">+IF(D196=0.667,E196*F196*G196*H196*J196,0)</f>
        <v>0</v>
      </c>
      <c r="L196" s="100">
        <f t="shared" ref="L196:L197" si="494">+IF(D196=0.333,E196*F196*G196*J196,0)</f>
        <v>0</v>
      </c>
      <c r="M196" s="99">
        <v>4</v>
      </c>
      <c r="N196" s="100">
        <f t="shared" ref="N196:N197" si="495">+IF(D196=0.667,E196*F196*G196*H196*M196,0)</f>
        <v>-16.008000000000003</v>
      </c>
      <c r="O196" s="100">
        <f t="shared" ref="O196:O197" si="496">+IF(D196=0.333,E196*F196*G196*M196,0)</f>
        <v>0</v>
      </c>
      <c r="P196" s="81">
        <v>0</v>
      </c>
      <c r="Q196" s="100">
        <f t="shared" ref="Q196:Q197" si="497">+IF(D196=0.667,E196*F196*G196*H196*P196,0)</f>
        <v>0</v>
      </c>
      <c r="R196" s="100">
        <f t="shared" ref="R196:R197" si="498">+IF(D196=0.333,E196*F196*G196*P196,0)</f>
        <v>0</v>
      </c>
      <c r="S196" s="101">
        <f t="shared" si="477"/>
        <v>-16.008000000000003</v>
      </c>
      <c r="T196" s="101">
        <f t="shared" si="477"/>
        <v>0</v>
      </c>
      <c r="U196" s="92"/>
      <c r="V196" s="91"/>
      <c r="W196" s="102">
        <f>+G196+D196</f>
        <v>6.6669999999999998</v>
      </c>
      <c r="X196" s="98">
        <v>0.5</v>
      </c>
      <c r="Y196" s="102">
        <f>+IF(D196=0.667,-E196*F196*H196*W196*X196,0)</f>
        <v>2.2234445000000003</v>
      </c>
      <c r="Z196" s="98">
        <f>+IF(D196=0.333,-E196*F196*H196*W196*X196,0)</f>
        <v>0</v>
      </c>
      <c r="AA196" s="98">
        <f>+F196*G196*H196</f>
        <v>4.0020000000000007</v>
      </c>
      <c r="AB196" s="98">
        <f t="shared" ref="AB196:AB197" si="499">2*F196*W196*X196</f>
        <v>6.6669999999999998</v>
      </c>
      <c r="AC196" s="91"/>
      <c r="AD196" s="98">
        <v>0.16700000000000001</v>
      </c>
      <c r="AE196" s="98">
        <f t="shared" ref="AE196:AE197" si="500">+IF(D196=0.667,AD196*W196*H196*F196,0)</f>
        <v>0.74263046300000002</v>
      </c>
      <c r="AF196" s="98">
        <f t="shared" ref="AF196:AF197" si="501">+IF(D196=0.333,AD196*W196*H196*F196,0)</f>
        <v>0</v>
      </c>
      <c r="AG196" s="91"/>
      <c r="AH196" s="305"/>
      <c r="AI196" s="299">
        <f t="shared" ref="AI196:AI197" si="502">+AH196*G196*D196*0.17</f>
        <v>0</v>
      </c>
      <c r="AK196" s="301"/>
      <c r="AL196" s="301">
        <f t="shared" si="479"/>
        <v>0</v>
      </c>
      <c r="AM196" s="301"/>
      <c r="AN196" s="301"/>
      <c r="AO196" s="299"/>
      <c r="AP196" s="301"/>
      <c r="AQ196" s="301"/>
      <c r="AT196" s="28">
        <f t="shared" si="360"/>
        <v>-6</v>
      </c>
    </row>
    <row r="197" spans="2:46" s="28" customFormat="1" ht="20.100000000000001" customHeight="1" x14ac:dyDescent="0.3">
      <c r="B197" s="18"/>
      <c r="C197" s="62" t="s">
        <v>48</v>
      </c>
      <c r="D197" s="298">
        <v>0.66700000000000004</v>
      </c>
      <c r="E197" s="18">
        <f>-1</f>
        <v>-1</v>
      </c>
      <c r="F197" s="18">
        <v>1</v>
      </c>
      <c r="G197" s="556">
        <v>5</v>
      </c>
      <c r="H197" s="20">
        <f t="shared" si="492"/>
        <v>0.66700000000000004</v>
      </c>
      <c r="I197" s="21"/>
      <c r="J197" s="81"/>
      <c r="K197" s="103">
        <f t="shared" si="493"/>
        <v>0</v>
      </c>
      <c r="L197" s="103">
        <f t="shared" si="494"/>
        <v>0</v>
      </c>
      <c r="M197" s="81">
        <v>2.25</v>
      </c>
      <c r="N197" s="103">
        <f t="shared" si="495"/>
        <v>-7.5037500000000001</v>
      </c>
      <c r="O197" s="103">
        <f t="shared" si="496"/>
        <v>0</v>
      </c>
      <c r="P197" s="81">
        <v>2</v>
      </c>
      <c r="Q197" s="103">
        <f t="shared" si="497"/>
        <v>-6.67</v>
      </c>
      <c r="R197" s="103">
        <f t="shared" si="498"/>
        <v>0</v>
      </c>
      <c r="S197" s="104">
        <f t="shared" si="477"/>
        <v>-14.17375</v>
      </c>
      <c r="T197" s="104">
        <f t="shared" si="477"/>
        <v>0</v>
      </c>
      <c r="U197" s="18"/>
      <c r="V197" s="26"/>
      <c r="W197" s="21">
        <f>+G197+D197</f>
        <v>5.6669999999999998</v>
      </c>
      <c r="X197" s="21">
        <v>0.5</v>
      </c>
      <c r="Y197" s="21">
        <f>+IF(D197=0.667,-E197*F197*H197*W197*X197,0)</f>
        <v>1.8899445000000001</v>
      </c>
      <c r="Z197" s="21">
        <f>+IF(D197=0.333,-E197*F197*H197*W197*X197,0)</f>
        <v>0</v>
      </c>
      <c r="AA197" s="21">
        <f>+F197*G197*H197</f>
        <v>3.335</v>
      </c>
      <c r="AB197" s="21">
        <f t="shared" si="499"/>
        <v>5.6669999999999998</v>
      </c>
      <c r="AC197" s="27"/>
      <c r="AD197" s="21">
        <v>0.16700000000000001</v>
      </c>
      <c r="AE197" s="21">
        <f t="shared" si="500"/>
        <v>0.63124146300000006</v>
      </c>
      <c r="AF197" s="21">
        <f t="shared" si="501"/>
        <v>0</v>
      </c>
      <c r="AG197" s="27"/>
      <c r="AH197" s="396"/>
      <c r="AI197" s="21">
        <f t="shared" si="502"/>
        <v>0</v>
      </c>
      <c r="AK197" s="301"/>
      <c r="AL197" s="301"/>
      <c r="AM197" s="301"/>
      <c r="AN197" s="301"/>
      <c r="AO197" s="299"/>
      <c r="AP197" s="301"/>
      <c r="AQ197" s="301"/>
      <c r="AT197" s="28">
        <f t="shared" si="360"/>
        <v>-5</v>
      </c>
    </row>
    <row r="198" spans="2:46" s="28" customFormat="1" ht="20.100000000000001" customHeight="1" x14ac:dyDescent="0.3">
      <c r="B198" s="92"/>
      <c r="C198" s="95" t="s">
        <v>32</v>
      </c>
      <c r="D198" s="98">
        <v>0.66700000000000004</v>
      </c>
      <c r="E198" s="92">
        <v>1</v>
      </c>
      <c r="F198" s="92">
        <v>1</v>
      </c>
      <c r="G198" s="555">
        <f>(11.72)*3.281</f>
        <v>38.453320000000005</v>
      </c>
      <c r="H198" s="98">
        <f>+D198</f>
        <v>0.66700000000000004</v>
      </c>
      <c r="I198" s="94">
        <v>2</v>
      </c>
      <c r="J198" s="99">
        <v>3</v>
      </c>
      <c r="K198" s="100">
        <f>+IF(D198=0.667,E198*F198*G198*H198*J198,0)</f>
        <v>76.945093320000012</v>
      </c>
      <c r="L198" s="100">
        <f>+IF(D198=0.333,E198*F198*G198*J198,0)</f>
        <v>0</v>
      </c>
      <c r="M198" s="99">
        <v>4</v>
      </c>
      <c r="N198" s="100">
        <f>+IF(D198=0.667,E198*F198*G198*H198*M198,0)</f>
        <v>102.59345776000002</v>
      </c>
      <c r="O198" s="100">
        <f>+IF(D198=0.333,E198*F198*G198*M198,0)</f>
        <v>0</v>
      </c>
      <c r="P198" s="81">
        <f>11.833-I198-M198-J198</f>
        <v>2.8330000000000002</v>
      </c>
      <c r="Q198" s="100">
        <f>+IF(D198=0.667,E198*F198*G198*H198*P198,0)</f>
        <v>72.661816458520022</v>
      </c>
      <c r="R198" s="100">
        <f>+IF(D198=0.333,E198*F198*G198*P198,0)</f>
        <v>0</v>
      </c>
      <c r="S198" s="101">
        <f t="shared" si="477"/>
        <v>252.20036753852006</v>
      </c>
      <c r="T198" s="101">
        <f t="shared" si="477"/>
        <v>0</v>
      </c>
      <c r="U198" s="92"/>
      <c r="V198" s="91"/>
      <c r="W198" s="102"/>
      <c r="X198" s="98"/>
      <c r="Y198" s="102"/>
      <c r="Z198" s="98"/>
      <c r="AA198" s="98"/>
      <c r="AB198" s="98"/>
      <c r="AC198" s="91"/>
      <c r="AD198" s="98"/>
      <c r="AE198" s="98"/>
      <c r="AF198" s="98"/>
      <c r="AG198" s="91"/>
      <c r="AH198" s="305">
        <v>1</v>
      </c>
      <c r="AI198" s="299">
        <f>+AH198*G198*D198*0.17</f>
        <v>4.360221954800001</v>
      </c>
      <c r="AK198" s="301">
        <f t="shared" si="491"/>
        <v>38.453320000000005</v>
      </c>
      <c r="AL198" s="301">
        <f t="shared" si="479"/>
        <v>0</v>
      </c>
      <c r="AM198" s="301"/>
      <c r="AN198" s="301">
        <f>+IF(D198=0.333,1.33,0)</f>
        <v>0</v>
      </c>
      <c r="AO198" s="299"/>
      <c r="AP198" s="301"/>
      <c r="AQ198" s="301"/>
      <c r="AT198" s="28">
        <f t="shared" si="360"/>
        <v>38.453320000000005</v>
      </c>
    </row>
    <row r="199" spans="2:46" s="28" customFormat="1" ht="20.100000000000001" customHeight="1" x14ac:dyDescent="0.3">
      <c r="B199" s="92"/>
      <c r="C199" s="95" t="s">
        <v>335</v>
      </c>
      <c r="D199" s="98">
        <v>0.66700000000000004</v>
      </c>
      <c r="E199" s="92">
        <v>-1</v>
      </c>
      <c r="F199" s="92">
        <v>1</v>
      </c>
      <c r="G199" s="555">
        <f>3.5+3.5</f>
        <v>7</v>
      </c>
      <c r="H199" s="98">
        <f>+D199</f>
        <v>0.66700000000000004</v>
      </c>
      <c r="I199" s="102"/>
      <c r="J199" s="99">
        <v>3</v>
      </c>
      <c r="K199" s="100">
        <f>+IF(D199=0.667,E199*F199*G199*H199*J199,0)</f>
        <v>-14.007000000000001</v>
      </c>
      <c r="L199" s="100">
        <f>+IF(D199=0.333,E199*F199*G199*J199,0)</f>
        <v>0</v>
      </c>
      <c r="M199" s="99">
        <v>4</v>
      </c>
      <c r="N199" s="100">
        <f>+IF(D199=0.667,E199*F199*G199*H199*M199,0)</f>
        <v>-18.676000000000002</v>
      </c>
      <c r="O199" s="100">
        <f>+IF(D199=0.333,E199*F199*G199*M199,0)</f>
        <v>0</v>
      </c>
      <c r="P199" s="99">
        <v>0.5</v>
      </c>
      <c r="Q199" s="100">
        <f>+IF(D199=0.667,E199*F199*G199*H199*P199,0)</f>
        <v>-2.3345000000000002</v>
      </c>
      <c r="R199" s="100">
        <f>+IF(D199=0.333,E199*F199*G199*P199,0)</f>
        <v>0</v>
      </c>
      <c r="S199" s="101">
        <f t="shared" si="477"/>
        <v>-35.017499999999998</v>
      </c>
      <c r="T199" s="101">
        <f t="shared" si="477"/>
        <v>0</v>
      </c>
      <c r="U199" s="92"/>
      <c r="V199" s="91"/>
      <c r="W199" s="98">
        <f>+G199+D199*2</f>
        <v>8.3339999999999996</v>
      </c>
      <c r="X199" s="98">
        <v>0.5</v>
      </c>
      <c r="Y199" s="98">
        <f>+IF(D199=0.667,-E199*F199*H199*W199*X199,0)</f>
        <v>2.7793890000000001</v>
      </c>
      <c r="Z199" s="98">
        <f>+IF(D199=0.333,-E199*F199*H199*W199*X199,0)</f>
        <v>0</v>
      </c>
      <c r="AA199" s="98">
        <f>+F199*G199*H199</f>
        <v>4.6690000000000005</v>
      </c>
      <c r="AB199" s="98">
        <f t="shared" ref="AB199" si="503">2*F199*W199*X199</f>
        <v>8.3339999999999996</v>
      </c>
      <c r="AC199" s="91"/>
      <c r="AD199" s="98"/>
      <c r="AE199" s="98">
        <f>+IF(D199=0.667,AD199*W199*H199*F199,0)</f>
        <v>0</v>
      </c>
      <c r="AF199" s="98">
        <f>+IF(D199=0.333,AD199*W199*H199*F199,0)</f>
        <v>0</v>
      </c>
      <c r="AG199" s="91"/>
      <c r="AH199" s="304"/>
      <c r="AI199" s="299">
        <f>+AH199*G199*D199*0.17</f>
        <v>0</v>
      </c>
      <c r="AK199" s="301">
        <f t="shared" si="491"/>
        <v>-7</v>
      </c>
      <c r="AL199" s="301">
        <f t="shared" si="479"/>
        <v>0</v>
      </c>
      <c r="AM199" s="301">
        <f>+IF(D199=0.667,1.33,0)</f>
        <v>1.33</v>
      </c>
      <c r="AN199" s="301"/>
      <c r="AO199" s="299"/>
      <c r="AP199" s="301"/>
      <c r="AQ199" s="301"/>
      <c r="AT199" s="28">
        <f t="shared" si="360"/>
        <v>-7</v>
      </c>
    </row>
    <row r="200" spans="2:46" s="28" customFormat="1" ht="20.100000000000001" customHeight="1" x14ac:dyDescent="0.3">
      <c r="B200" s="677"/>
      <c r="C200" s="678" t="s">
        <v>351</v>
      </c>
      <c r="D200" s="98">
        <v>0.66700000000000004</v>
      </c>
      <c r="E200" s="92">
        <v>1</v>
      </c>
      <c r="F200" s="92">
        <v>1</v>
      </c>
      <c r="G200" s="555">
        <f>(3.86+2.3+4.06+2.4)*3.281</f>
        <v>41.406219999999998</v>
      </c>
      <c r="H200" s="98">
        <f>+D200</f>
        <v>0.66700000000000004</v>
      </c>
      <c r="I200" s="102"/>
      <c r="J200" s="99">
        <v>3</v>
      </c>
      <c r="K200" s="100">
        <f>+IF(D200=0.667,E200*F200*G200*H200*J200,0)</f>
        <v>82.853846219999994</v>
      </c>
      <c r="L200" s="100">
        <f>+IF(D200=0.333,E200*F200*G200*J200,0)</f>
        <v>0</v>
      </c>
      <c r="M200" s="99">
        <v>4</v>
      </c>
      <c r="N200" s="100">
        <f>+IF(D200=0.667,E200*F200*G200*H200*M200,0)</f>
        <v>110.47179496</v>
      </c>
      <c r="O200" s="100">
        <f>+IF(D200=0.333,E200*F200*G200*M200,0)</f>
        <v>0</v>
      </c>
      <c r="P200" s="27">
        <f>11.833-I200-M200-J200</f>
        <v>4.8330000000000002</v>
      </c>
      <c r="Q200" s="100">
        <f>+IF(D200=0.667,E200*F200*G200*H200*P200,0)</f>
        <v>133.47754626042001</v>
      </c>
      <c r="R200" s="100">
        <f>+IF(D200=0.333,E200*F200*G200*P200,0)</f>
        <v>0</v>
      </c>
      <c r="S200" s="101">
        <f t="shared" si="477"/>
        <v>326.80318744042</v>
      </c>
      <c r="T200" s="101">
        <f t="shared" si="477"/>
        <v>0</v>
      </c>
      <c r="U200" s="677"/>
      <c r="V200" s="682"/>
      <c r="W200" s="679"/>
      <c r="X200" s="679"/>
      <c r="Y200" s="679"/>
      <c r="Z200" s="679"/>
      <c r="AA200" s="679"/>
      <c r="AB200" s="679"/>
      <c r="AC200" s="682"/>
      <c r="AD200" s="679"/>
      <c r="AE200" s="679"/>
      <c r="AF200" s="679"/>
      <c r="AG200" s="682"/>
      <c r="AH200" s="686"/>
      <c r="AI200" s="683"/>
      <c r="AK200" s="685"/>
      <c r="AL200" s="685"/>
      <c r="AM200" s="685"/>
      <c r="AN200" s="685"/>
      <c r="AO200" s="683"/>
      <c r="AP200" s="685"/>
      <c r="AQ200" s="685"/>
      <c r="AT200" s="28">
        <f t="shared" ref="AT200:AT263" si="504">+E200*F200*G200</f>
        <v>41.406219999999998</v>
      </c>
    </row>
    <row r="201" spans="2:46" s="28" customFormat="1" ht="20.100000000000001" customHeight="1" x14ac:dyDescent="0.3">
      <c r="B201" s="92"/>
      <c r="C201" s="95" t="s">
        <v>335</v>
      </c>
      <c r="D201" s="98">
        <v>0.66700000000000004</v>
      </c>
      <c r="E201" s="92">
        <v>-1</v>
      </c>
      <c r="F201" s="92">
        <v>1</v>
      </c>
      <c r="G201" s="555">
        <f>3.5+3.5</f>
        <v>7</v>
      </c>
      <c r="H201" s="98">
        <f>+D201</f>
        <v>0.66700000000000004</v>
      </c>
      <c r="I201" s="102"/>
      <c r="J201" s="99">
        <v>3</v>
      </c>
      <c r="K201" s="100">
        <f>+IF(D201=0.667,E201*F201*G201*H201*J201,0)</f>
        <v>-14.007000000000001</v>
      </c>
      <c r="L201" s="100">
        <f>+IF(D201=0.333,E201*F201*G201*J201,0)</f>
        <v>0</v>
      </c>
      <c r="M201" s="99">
        <v>4</v>
      </c>
      <c r="N201" s="100">
        <f>+IF(D201=0.667,E201*F201*G201*H201*M201,0)</f>
        <v>-18.676000000000002</v>
      </c>
      <c r="O201" s="100">
        <f>+IF(D201=0.333,E201*F201*G201*M201,0)</f>
        <v>0</v>
      </c>
      <c r="P201" s="99">
        <v>0.5</v>
      </c>
      <c r="Q201" s="100">
        <f>+IF(D201=0.667,E201*F201*G201*H201*P201,0)</f>
        <v>-2.3345000000000002</v>
      </c>
      <c r="R201" s="100">
        <f>+IF(D201=0.333,E201*F201*G201*P201,0)</f>
        <v>0</v>
      </c>
      <c r="S201" s="101">
        <f t="shared" ref="S201" si="505">+Q201+N201+K201</f>
        <v>-35.017499999999998</v>
      </c>
      <c r="T201" s="101">
        <f t="shared" ref="T201" si="506">+R201+O201+L201</f>
        <v>0</v>
      </c>
      <c r="U201" s="92"/>
      <c r="V201" s="91"/>
      <c r="W201" s="98">
        <f>+G201+D201*2</f>
        <v>8.3339999999999996</v>
      </c>
      <c r="X201" s="98">
        <v>0.5</v>
      </c>
      <c r="Y201" s="98">
        <f>+IF(D201=0.667,-E201*F201*H201*W201*X201,0)</f>
        <v>2.7793890000000001</v>
      </c>
      <c r="Z201" s="98">
        <f>+IF(D201=0.333,-E201*F201*H201*W201*X201,0)</f>
        <v>0</v>
      </c>
      <c r="AA201" s="98">
        <f>+F201*G201*H201</f>
        <v>4.6690000000000005</v>
      </c>
      <c r="AB201" s="98">
        <f t="shared" ref="AB201" si="507">2*F201*W201*X201</f>
        <v>8.3339999999999996</v>
      </c>
      <c r="AC201" s="91"/>
      <c r="AD201" s="98"/>
      <c r="AE201" s="98">
        <f>+IF(D201=0.667,AD201*W201*H201*F201,0)</f>
        <v>0</v>
      </c>
      <c r="AF201" s="98">
        <f>+IF(D201=0.333,AD201*W201*H201*F201,0)</f>
        <v>0</v>
      </c>
      <c r="AG201" s="91"/>
      <c r="AH201" s="304"/>
      <c r="AI201" s="299">
        <f>+AH201*G201*D201*0.17</f>
        <v>0</v>
      </c>
      <c r="AK201" s="301">
        <f t="shared" ref="AK201" si="508">+IF(D201=0.667,E201*F201*G201,0)</f>
        <v>-7</v>
      </c>
      <c r="AL201" s="301">
        <f t="shared" ref="AL201" si="509">+IF(D201=0.333,E201*F201*G201,0)</f>
        <v>0</v>
      </c>
      <c r="AM201" s="301">
        <f>+IF(D201=0.667,1.33,0)</f>
        <v>1.33</v>
      </c>
      <c r="AN201" s="301"/>
      <c r="AO201" s="299"/>
      <c r="AP201" s="301"/>
      <c r="AQ201" s="301"/>
      <c r="AT201" s="28">
        <f t="shared" si="504"/>
        <v>-7</v>
      </c>
    </row>
    <row r="202" spans="2:46" s="28" customFormat="1" ht="20.100000000000001" customHeight="1" x14ac:dyDescent="0.3">
      <c r="B202" s="369"/>
      <c r="C202" s="395"/>
      <c r="D202" s="371"/>
      <c r="E202" s="369"/>
      <c r="F202" s="369"/>
      <c r="G202" s="371"/>
      <c r="H202" s="371"/>
      <c r="I202" s="372"/>
      <c r="J202" s="371"/>
      <c r="K202" s="371"/>
      <c r="L202" s="371"/>
      <c r="M202" s="371"/>
      <c r="N202" s="371"/>
      <c r="O202" s="371"/>
      <c r="P202" s="371"/>
      <c r="Q202" s="371"/>
      <c r="R202" s="371"/>
      <c r="S202" s="371"/>
      <c r="T202" s="371"/>
      <c r="U202" s="369"/>
      <c r="V202" s="370"/>
      <c r="W202" s="372"/>
      <c r="X202" s="371"/>
      <c r="Y202" s="372"/>
      <c r="Z202" s="371"/>
      <c r="AA202" s="371"/>
      <c r="AB202" s="371"/>
      <c r="AC202" s="370"/>
      <c r="AD202" s="371"/>
      <c r="AE202" s="371"/>
      <c r="AF202" s="371"/>
      <c r="AG202" s="370"/>
      <c r="AH202" s="376"/>
      <c r="AI202" s="372"/>
      <c r="AK202" s="377"/>
      <c r="AL202" s="377"/>
      <c r="AM202" s="377"/>
      <c r="AN202" s="377"/>
      <c r="AO202" s="372"/>
      <c r="AP202" s="377"/>
      <c r="AQ202" s="377"/>
      <c r="AT202" s="28">
        <f t="shared" si="504"/>
        <v>0</v>
      </c>
    </row>
    <row r="203" spans="2:46" s="28" customFormat="1" ht="20.100000000000001" customHeight="1" x14ac:dyDescent="0.3">
      <c r="B203" s="369"/>
      <c r="C203" s="97" t="s">
        <v>336</v>
      </c>
      <c r="D203" s="371"/>
      <c r="E203" s="369"/>
      <c r="F203" s="369"/>
      <c r="G203" s="371"/>
      <c r="H203" s="371"/>
      <c r="I203" s="372"/>
      <c r="J203" s="371"/>
      <c r="K203" s="371"/>
      <c r="L203" s="371"/>
      <c r="M203" s="371"/>
      <c r="N203" s="371"/>
      <c r="O203" s="371"/>
      <c r="P203" s="371"/>
      <c r="Q203" s="371"/>
      <c r="R203" s="371"/>
      <c r="S203" s="371"/>
      <c r="T203" s="371"/>
      <c r="U203" s="369"/>
      <c r="V203" s="370"/>
      <c r="W203" s="372"/>
      <c r="X203" s="371"/>
      <c r="Y203" s="372"/>
      <c r="Z203" s="371"/>
      <c r="AA203" s="371"/>
      <c r="AB203" s="371"/>
      <c r="AC203" s="370"/>
      <c r="AD203" s="371"/>
      <c r="AE203" s="371"/>
      <c r="AF203" s="371"/>
      <c r="AG203" s="370"/>
      <c r="AH203" s="376"/>
      <c r="AI203" s="372"/>
      <c r="AK203" s="377"/>
      <c r="AL203" s="377"/>
      <c r="AM203" s="377"/>
      <c r="AN203" s="377"/>
      <c r="AO203" s="372"/>
      <c r="AP203" s="377"/>
      <c r="AQ203" s="377"/>
      <c r="AT203" s="28">
        <f t="shared" si="504"/>
        <v>0</v>
      </c>
    </row>
    <row r="204" spans="2:46" s="28" customFormat="1" ht="20.100000000000001" customHeight="1" x14ac:dyDescent="0.3">
      <c r="B204" s="92"/>
      <c r="C204" s="95" t="s">
        <v>33</v>
      </c>
      <c r="D204" s="98">
        <v>0.66700000000000004</v>
      </c>
      <c r="E204" s="92">
        <v>1</v>
      </c>
      <c r="F204" s="92">
        <v>1</v>
      </c>
      <c r="G204" s="555">
        <f>(5.82)*3.281</f>
        <v>19.095420000000001</v>
      </c>
      <c r="H204" s="98">
        <f>+D204</f>
        <v>0.66700000000000004</v>
      </c>
      <c r="I204" s="94">
        <v>2</v>
      </c>
      <c r="J204" s="99">
        <v>3</v>
      </c>
      <c r="K204" s="100">
        <f>+IF(D204=0.667,E204*F204*G204*H204*J204,0)</f>
        <v>38.209935420000008</v>
      </c>
      <c r="L204" s="100">
        <f>+IF(D204=0.333,E204*F204*G204*J204,0)</f>
        <v>0</v>
      </c>
      <c r="M204" s="99">
        <v>4</v>
      </c>
      <c r="N204" s="100">
        <f>+IF(D204=0.667,E204*F204*G204*H204*M204,0)</f>
        <v>50.946580560000008</v>
      </c>
      <c r="O204" s="100">
        <f>+IF(D204=0.333,E204*F204*G204*M204,0)</f>
        <v>0</v>
      </c>
      <c r="P204" s="81">
        <f t="shared" ref="P204:P205" si="510">11.833-I204-M204-J204</f>
        <v>2.8330000000000002</v>
      </c>
      <c r="Q204" s="100">
        <f>+IF(D204=0.667,E204*F204*G204*H204*P204,0)</f>
        <v>36.082915681620008</v>
      </c>
      <c r="R204" s="100">
        <f>+IF(D204=0.333,E204*F204*G204*P204,0)</f>
        <v>0</v>
      </c>
      <c r="S204" s="101">
        <f t="shared" ref="S204:T208" si="511">+Q204+N204+K204</f>
        <v>125.23943166162003</v>
      </c>
      <c r="T204" s="101">
        <f t="shared" si="511"/>
        <v>0</v>
      </c>
      <c r="U204" s="92"/>
      <c r="V204" s="91"/>
      <c r="W204" s="102"/>
      <c r="X204" s="98"/>
      <c r="Y204" s="102"/>
      <c r="Z204" s="98"/>
      <c r="AA204" s="98"/>
      <c r="AB204" s="98"/>
      <c r="AC204" s="91"/>
      <c r="AD204" s="98"/>
      <c r="AE204" s="98"/>
      <c r="AF204" s="98"/>
      <c r="AG204" s="91"/>
      <c r="AH204" s="305">
        <v>1</v>
      </c>
      <c r="AI204" s="299">
        <f>+AH204*G204*D204*0.17</f>
        <v>2.1652296738000003</v>
      </c>
      <c r="AK204" s="301">
        <f t="shared" ref="AK204:AK208" si="512">+IF(D204=0.667,E204*F204*G204,0)</f>
        <v>19.095420000000001</v>
      </c>
      <c r="AL204" s="301">
        <f t="shared" ref="AL204:AL208" si="513">+IF(D204=0.333,E204*F204*G204,0)</f>
        <v>0</v>
      </c>
      <c r="AM204" s="301"/>
      <c r="AN204" s="301">
        <f>+IF(D204=0.333,1.33,0)</f>
        <v>0</v>
      </c>
      <c r="AO204" s="299"/>
      <c r="AP204" s="301"/>
      <c r="AQ204" s="301"/>
      <c r="AT204" s="28">
        <f t="shared" si="504"/>
        <v>19.095420000000001</v>
      </c>
    </row>
    <row r="205" spans="2:46" s="28" customFormat="1" ht="20.100000000000001" customHeight="1" x14ac:dyDescent="0.3">
      <c r="B205" s="92"/>
      <c r="C205" s="95" t="s">
        <v>32</v>
      </c>
      <c r="D205" s="98">
        <v>0.66700000000000004</v>
      </c>
      <c r="E205" s="92">
        <v>1</v>
      </c>
      <c r="F205" s="92">
        <v>1</v>
      </c>
      <c r="G205" s="555">
        <f>(5.62)*3.281</f>
        <v>18.439220000000002</v>
      </c>
      <c r="H205" s="98">
        <f>+D205</f>
        <v>0.66700000000000004</v>
      </c>
      <c r="I205" s="94">
        <v>2</v>
      </c>
      <c r="J205" s="99">
        <v>3</v>
      </c>
      <c r="K205" s="100">
        <f>+IF(D205=0.667,E205*F205*G205*H205*J205,0)</f>
        <v>36.89687922000001</v>
      </c>
      <c r="L205" s="100">
        <f>+IF(D205=0.333,E205*F205*G205*J205,0)</f>
        <v>0</v>
      </c>
      <c r="M205" s="99">
        <v>4</v>
      </c>
      <c r="N205" s="100">
        <f>+IF(D205=0.667,E205*F205*G205*H205*M205,0)</f>
        <v>49.19583896000001</v>
      </c>
      <c r="O205" s="100">
        <f>+IF(D205=0.333,E205*F205*G205*M205,0)</f>
        <v>0</v>
      </c>
      <c r="P205" s="81">
        <f t="shared" si="510"/>
        <v>2.8330000000000002</v>
      </c>
      <c r="Q205" s="100">
        <f>+IF(D205=0.667,E205*F205*G205*H205*P205,0)</f>
        <v>34.842952943420009</v>
      </c>
      <c r="R205" s="100">
        <f>+IF(D205=0.333,E205*F205*G205*P205,0)</f>
        <v>0</v>
      </c>
      <c r="S205" s="101">
        <f t="shared" si="511"/>
        <v>120.93567112342004</v>
      </c>
      <c r="T205" s="101">
        <f t="shared" si="511"/>
        <v>0</v>
      </c>
      <c r="U205" s="92"/>
      <c r="V205" s="91"/>
      <c r="W205" s="102"/>
      <c r="X205" s="98"/>
      <c r="Y205" s="102"/>
      <c r="Z205" s="98"/>
      <c r="AA205" s="98"/>
      <c r="AB205" s="98"/>
      <c r="AC205" s="91"/>
      <c r="AD205" s="98"/>
      <c r="AE205" s="98"/>
      <c r="AF205" s="98"/>
      <c r="AG205" s="91"/>
      <c r="AH205" s="305">
        <v>1</v>
      </c>
      <c r="AI205" s="299">
        <f>+AH205*G205*D205*0.17</f>
        <v>2.0908231558000008</v>
      </c>
      <c r="AK205" s="301">
        <f t="shared" si="512"/>
        <v>18.439220000000002</v>
      </c>
      <c r="AL205" s="301">
        <f t="shared" si="513"/>
        <v>0</v>
      </c>
      <c r="AM205" s="301"/>
      <c r="AN205" s="301">
        <f>+IF(D205=0.333,1.33,0)</f>
        <v>0</v>
      </c>
      <c r="AO205" s="299"/>
      <c r="AP205" s="301"/>
      <c r="AQ205" s="301"/>
      <c r="AT205" s="28">
        <f t="shared" si="504"/>
        <v>18.439220000000002</v>
      </c>
    </row>
    <row r="206" spans="2:46" s="28" customFormat="1" ht="20.100000000000001" customHeight="1" x14ac:dyDescent="0.3">
      <c r="B206" s="18"/>
      <c r="C206" s="62" t="s">
        <v>35</v>
      </c>
      <c r="D206" s="98">
        <v>0.66700000000000004</v>
      </c>
      <c r="E206" s="18">
        <v>-1</v>
      </c>
      <c r="F206" s="18">
        <v>1</v>
      </c>
      <c r="G206" s="556">
        <v>3.25</v>
      </c>
      <c r="H206" s="20">
        <f t="shared" ref="H206" si="514">+D206</f>
        <v>0.66700000000000004</v>
      </c>
      <c r="I206" s="21"/>
      <c r="J206" s="81">
        <v>3</v>
      </c>
      <c r="K206" s="103">
        <f t="shared" ref="K206" si="515">+IF(D206=0.667,E206*F206*G206*H206*J206,0)</f>
        <v>-6.5032500000000013</v>
      </c>
      <c r="L206" s="103">
        <f t="shared" ref="L206" si="516">+IF(D206=0.333,E206*F206*G206*J206,0)</f>
        <v>0</v>
      </c>
      <c r="M206" s="81">
        <v>4</v>
      </c>
      <c r="N206" s="103">
        <f t="shared" ref="N206" si="517">+IF(D206=0.667,E206*F206*G206*H206*M206,0)</f>
        <v>-8.6710000000000012</v>
      </c>
      <c r="O206" s="103">
        <f t="shared" ref="O206" si="518">+IF(D206=0.333,E206*F206*G206*M206,0)</f>
        <v>0</v>
      </c>
      <c r="P206" s="81"/>
      <c r="Q206" s="103">
        <f t="shared" ref="Q206" si="519">+IF(D206=0.667,E206*F206*G206*H206*P206,0)</f>
        <v>0</v>
      </c>
      <c r="R206" s="103">
        <f t="shared" ref="R206" si="520">+IF(D206=0.333,E206*F206*G206*P206,0)</f>
        <v>0</v>
      </c>
      <c r="S206" s="104">
        <f t="shared" si="511"/>
        <v>-15.174250000000002</v>
      </c>
      <c r="T206" s="104">
        <f t="shared" si="511"/>
        <v>0</v>
      </c>
      <c r="U206" s="18"/>
      <c r="V206" s="26"/>
      <c r="W206" s="21">
        <f>+G206+D206</f>
        <v>3.9169999999999998</v>
      </c>
      <c r="X206" s="21">
        <v>0.5</v>
      </c>
      <c r="Y206" s="21">
        <f>+IF(D206=0.667,-E206*F206*H206*W206*X206,0)</f>
        <v>1.3063195000000001</v>
      </c>
      <c r="Z206" s="21">
        <f>+IF(D206=0.333,-E206*F206*H206*W206*X206,0)</f>
        <v>0</v>
      </c>
      <c r="AA206" s="21">
        <f>+F206*G206*H206</f>
        <v>2.1677500000000003</v>
      </c>
      <c r="AB206" s="21">
        <f t="shared" ref="AB206" si="521">2*F206*W206*X206</f>
        <v>3.9169999999999998</v>
      </c>
      <c r="AC206" s="27"/>
      <c r="AD206" s="21"/>
      <c r="AE206" s="21">
        <f t="shared" ref="AE206" si="522">+IF(D206=0.667,AD206*W206*H206*F206,0)</f>
        <v>0</v>
      </c>
      <c r="AF206" s="21">
        <f t="shared" ref="AF206" si="523">+IF(D206=0.333,AD206*W206*H206*F206,0)</f>
        <v>0</v>
      </c>
      <c r="AG206" s="27"/>
      <c r="AH206" s="396"/>
      <c r="AI206" s="21">
        <f t="shared" ref="AI206" si="524">+AH206*G206*D206*0.17</f>
        <v>0</v>
      </c>
      <c r="AK206" s="301">
        <f t="shared" si="512"/>
        <v>-3.25</v>
      </c>
      <c r="AL206" s="301">
        <f t="shared" si="513"/>
        <v>0</v>
      </c>
      <c r="AM206" s="301">
        <f>+IF(D206=0.667,1.33,0)</f>
        <v>1.33</v>
      </c>
      <c r="AN206" s="301">
        <f>+IF(D206=0.333,1.33,0)</f>
        <v>0</v>
      </c>
      <c r="AO206" s="299"/>
      <c r="AP206" s="301"/>
      <c r="AQ206" s="301"/>
      <c r="AT206" s="28">
        <f t="shared" si="504"/>
        <v>-3.25</v>
      </c>
    </row>
    <row r="207" spans="2:46" s="28" customFormat="1" ht="20.100000000000001" customHeight="1" x14ac:dyDescent="0.3">
      <c r="B207" s="92"/>
      <c r="C207" s="95" t="s">
        <v>43</v>
      </c>
      <c r="D207" s="98">
        <v>0.66700000000000004</v>
      </c>
      <c r="E207" s="92">
        <v>1</v>
      </c>
      <c r="F207" s="92">
        <v>1</v>
      </c>
      <c r="G207" s="555">
        <f>(4.2+1.1)*3.281</f>
        <v>17.389300000000002</v>
      </c>
      <c r="H207" s="98">
        <f>+D207</f>
        <v>0.66700000000000004</v>
      </c>
      <c r="I207" s="94">
        <v>2</v>
      </c>
      <c r="J207" s="99">
        <v>3</v>
      </c>
      <c r="K207" s="100">
        <f>+IF(D207=0.667,E207*F207*G207*H207*J207,0)</f>
        <v>34.795989300000002</v>
      </c>
      <c r="L207" s="100">
        <f>+IF(D207=0.333,E207*F207*G207*J207,0)</f>
        <v>0</v>
      </c>
      <c r="M207" s="99">
        <v>4</v>
      </c>
      <c r="N207" s="100">
        <f>+IF(D207=0.667,E207*F207*G207*H207*M207,0)</f>
        <v>46.394652400000005</v>
      </c>
      <c r="O207" s="100">
        <f>+IF(D207=0.333,E207*F207*G207*M207,0)</f>
        <v>0</v>
      </c>
      <c r="P207" s="81">
        <f t="shared" ref="P207:P208" si="525">11.833-I207-M207-J207</f>
        <v>2.8330000000000002</v>
      </c>
      <c r="Q207" s="100">
        <f>+IF(D207=0.667,E207*F207*G207*H207*P207,0)</f>
        <v>32.859012562300009</v>
      </c>
      <c r="R207" s="100">
        <f>+IF(D207=0.333,E207*F207*G207*P207,0)</f>
        <v>0</v>
      </c>
      <c r="S207" s="101">
        <f t="shared" si="511"/>
        <v>114.04965426230001</v>
      </c>
      <c r="T207" s="101">
        <f t="shared" si="511"/>
        <v>0</v>
      </c>
      <c r="U207" s="92"/>
      <c r="V207" s="91"/>
      <c r="W207" s="102"/>
      <c r="X207" s="98"/>
      <c r="Y207" s="102"/>
      <c r="Z207" s="98"/>
      <c r="AA207" s="98"/>
      <c r="AB207" s="98"/>
      <c r="AC207" s="91"/>
      <c r="AD207" s="98"/>
      <c r="AE207" s="98"/>
      <c r="AF207" s="98"/>
      <c r="AG207" s="91"/>
      <c r="AH207" s="305">
        <v>1</v>
      </c>
      <c r="AI207" s="299">
        <f>+AH207*G207*D207*0.17</f>
        <v>1.9717727270000003</v>
      </c>
      <c r="AK207" s="301">
        <f t="shared" si="512"/>
        <v>17.389300000000002</v>
      </c>
      <c r="AL207" s="301">
        <f t="shared" si="513"/>
        <v>0</v>
      </c>
      <c r="AM207" s="301"/>
      <c r="AN207" s="301">
        <f>+IF(D207=0.333,1.33,0)</f>
        <v>0</v>
      </c>
      <c r="AO207" s="299"/>
      <c r="AP207" s="301"/>
      <c r="AQ207" s="301"/>
      <c r="AT207" s="28">
        <f t="shared" si="504"/>
        <v>17.389300000000002</v>
      </c>
    </row>
    <row r="208" spans="2:46" s="28" customFormat="1" ht="20.100000000000001" customHeight="1" x14ac:dyDescent="0.3">
      <c r="B208" s="92"/>
      <c r="C208" s="95" t="s">
        <v>38</v>
      </c>
      <c r="D208" s="98">
        <v>0.66700000000000004</v>
      </c>
      <c r="E208" s="92">
        <v>1</v>
      </c>
      <c r="F208" s="92">
        <v>1</v>
      </c>
      <c r="G208" s="555">
        <f>(4.57)*3.281</f>
        <v>14.994170000000002</v>
      </c>
      <c r="H208" s="98">
        <f>+D208</f>
        <v>0.66700000000000004</v>
      </c>
      <c r="I208" s="94">
        <v>2</v>
      </c>
      <c r="J208" s="99">
        <v>3</v>
      </c>
      <c r="K208" s="100">
        <f>+IF(D208=0.667,E208*F208*G208*H208*J208,0)</f>
        <v>30.003334170000006</v>
      </c>
      <c r="L208" s="100">
        <f>+IF(D208=0.333,E208*F208*G208*J208,0)</f>
        <v>0</v>
      </c>
      <c r="M208" s="99">
        <v>4</v>
      </c>
      <c r="N208" s="100">
        <f>+IF(D208=0.667,E208*F208*G208*H208*M208,0)</f>
        <v>40.004445560000008</v>
      </c>
      <c r="O208" s="100">
        <f>+IF(D208=0.333,E208*F208*G208*M208,0)</f>
        <v>0</v>
      </c>
      <c r="P208" s="81">
        <f t="shared" si="525"/>
        <v>2.8330000000000002</v>
      </c>
      <c r="Q208" s="100">
        <f>+IF(D208=0.667,E208*F208*G208*H208*P208,0)</f>
        <v>28.333148567870008</v>
      </c>
      <c r="R208" s="100">
        <f>+IF(D208=0.333,E208*F208*G208*P208,0)</f>
        <v>0</v>
      </c>
      <c r="S208" s="101">
        <f t="shared" si="511"/>
        <v>98.340928297870022</v>
      </c>
      <c r="T208" s="101">
        <f t="shared" si="511"/>
        <v>0</v>
      </c>
      <c r="U208" s="92"/>
      <c r="V208" s="91"/>
      <c r="W208" s="102"/>
      <c r="X208" s="98"/>
      <c r="Y208" s="102"/>
      <c r="Z208" s="98"/>
      <c r="AA208" s="98"/>
      <c r="AB208" s="98"/>
      <c r="AC208" s="91"/>
      <c r="AD208" s="98"/>
      <c r="AE208" s="98"/>
      <c r="AF208" s="98"/>
      <c r="AG208" s="91"/>
      <c r="AH208" s="305">
        <v>1</v>
      </c>
      <c r="AI208" s="299">
        <f>+AH208*G208*D208*0.17</f>
        <v>1.7001889363000005</v>
      </c>
      <c r="AK208" s="301">
        <f t="shared" si="512"/>
        <v>14.994170000000002</v>
      </c>
      <c r="AL208" s="301">
        <f t="shared" si="513"/>
        <v>0</v>
      </c>
      <c r="AM208" s="301"/>
      <c r="AN208" s="301">
        <f>+IF(D208=0.333,1.33,0)</f>
        <v>0</v>
      </c>
      <c r="AO208" s="299"/>
      <c r="AP208" s="301"/>
      <c r="AQ208" s="301"/>
      <c r="AT208" s="28">
        <f t="shared" si="504"/>
        <v>14.994170000000002</v>
      </c>
    </row>
    <row r="209" spans="2:46" s="28" customFormat="1" ht="20.100000000000001" customHeight="1" x14ac:dyDescent="0.3">
      <c r="B209" s="369"/>
      <c r="C209" s="395"/>
      <c r="D209" s="371"/>
      <c r="E209" s="369"/>
      <c r="F209" s="369"/>
      <c r="G209" s="371"/>
      <c r="H209" s="371"/>
      <c r="I209" s="372"/>
      <c r="J209" s="371"/>
      <c r="K209" s="371"/>
      <c r="L209" s="371"/>
      <c r="M209" s="371"/>
      <c r="N209" s="371"/>
      <c r="O209" s="371"/>
      <c r="P209" s="371"/>
      <c r="Q209" s="371"/>
      <c r="R209" s="371"/>
      <c r="S209" s="371"/>
      <c r="T209" s="371"/>
      <c r="U209" s="369"/>
      <c r="V209" s="370"/>
      <c r="W209" s="372"/>
      <c r="X209" s="371"/>
      <c r="Y209" s="372"/>
      <c r="Z209" s="371"/>
      <c r="AA209" s="371"/>
      <c r="AB209" s="371"/>
      <c r="AC209" s="370"/>
      <c r="AD209" s="371"/>
      <c r="AE209" s="371"/>
      <c r="AF209" s="371"/>
      <c r="AG209" s="370"/>
      <c r="AH209" s="376"/>
      <c r="AI209" s="372"/>
      <c r="AK209" s="377"/>
      <c r="AL209" s="377"/>
      <c r="AM209" s="377"/>
      <c r="AN209" s="377"/>
      <c r="AO209" s="372"/>
      <c r="AP209" s="377"/>
      <c r="AQ209" s="377"/>
      <c r="AT209" s="28">
        <f t="shared" si="504"/>
        <v>0</v>
      </c>
    </row>
    <row r="210" spans="2:46" s="28" customFormat="1" ht="20.100000000000001" customHeight="1" x14ac:dyDescent="0.3">
      <c r="B210" s="369"/>
      <c r="C210" s="97" t="s">
        <v>363</v>
      </c>
      <c r="D210" s="371"/>
      <c r="E210" s="369"/>
      <c r="F210" s="369"/>
      <c r="G210" s="371"/>
      <c r="H210" s="371"/>
      <c r="I210" s="372"/>
      <c r="J210" s="371"/>
      <c r="K210" s="371"/>
      <c r="L210" s="371"/>
      <c r="M210" s="371"/>
      <c r="N210" s="371"/>
      <c r="O210" s="371"/>
      <c r="P210" s="371"/>
      <c r="Q210" s="371"/>
      <c r="R210" s="371"/>
      <c r="S210" s="371"/>
      <c r="T210" s="371"/>
      <c r="U210" s="369"/>
      <c r="V210" s="370"/>
      <c r="W210" s="372"/>
      <c r="X210" s="371"/>
      <c r="Y210" s="372"/>
      <c r="Z210" s="371"/>
      <c r="AA210" s="371"/>
      <c r="AB210" s="371"/>
      <c r="AC210" s="370"/>
      <c r="AD210" s="371"/>
      <c r="AE210" s="371"/>
      <c r="AF210" s="371"/>
      <c r="AG210" s="370"/>
      <c r="AH210" s="376"/>
      <c r="AI210" s="372"/>
      <c r="AK210" s="377"/>
      <c r="AL210" s="377"/>
      <c r="AM210" s="377"/>
      <c r="AN210" s="377"/>
      <c r="AO210" s="372"/>
      <c r="AP210" s="377"/>
      <c r="AQ210" s="377"/>
      <c r="AT210" s="28">
        <f t="shared" si="504"/>
        <v>0</v>
      </c>
    </row>
    <row r="211" spans="2:46" s="28" customFormat="1" ht="20.100000000000001" customHeight="1" x14ac:dyDescent="0.3">
      <c r="B211" s="92"/>
      <c r="C211" s="95" t="s">
        <v>31</v>
      </c>
      <c r="D211" s="98">
        <v>0.66700000000000004</v>
      </c>
      <c r="E211" s="92">
        <f>1*0</f>
        <v>0</v>
      </c>
      <c r="F211" s="92">
        <f>1*0</f>
        <v>0</v>
      </c>
      <c r="G211" s="98">
        <f>(4.607)*3.281</f>
        <v>15.115567000000002</v>
      </c>
      <c r="H211" s="98">
        <f>+D211</f>
        <v>0.66700000000000004</v>
      </c>
      <c r="I211" s="94">
        <v>2</v>
      </c>
      <c r="J211" s="99">
        <v>3</v>
      </c>
      <c r="K211" s="100">
        <f>+IF(D211=0.667,E211*F211*G211*H211*J211,0)</f>
        <v>0</v>
      </c>
      <c r="L211" s="100">
        <f>+IF(D211=0.333,E211*F211*G211*J211,0)</f>
        <v>0</v>
      </c>
      <c r="M211" s="99">
        <v>4</v>
      </c>
      <c r="N211" s="100">
        <f>+IF(D211=0.667,E211*F211*G211*H211*M211,0)</f>
        <v>0</v>
      </c>
      <c r="O211" s="100">
        <f>+IF(D211=0.333,E211*F211*G211*M211,0)</f>
        <v>0</v>
      </c>
      <c r="P211" s="81">
        <f>11.833-I211-M211-J211</f>
        <v>2.8330000000000002</v>
      </c>
      <c r="Q211" s="100">
        <f>+IF(D211=0.667,E211*F211*G211*H211*P211,0)</f>
        <v>0</v>
      </c>
      <c r="R211" s="100">
        <f>+IF(D211=0.333,E211*F211*G211*P211,0)</f>
        <v>0</v>
      </c>
      <c r="S211" s="101">
        <f t="shared" ref="S211:T223" si="526">+Q211+N211+K211</f>
        <v>0</v>
      </c>
      <c r="T211" s="101">
        <f t="shared" si="526"/>
        <v>0</v>
      </c>
      <c r="U211" s="92"/>
      <c r="V211" s="91"/>
      <c r="W211" s="102"/>
      <c r="X211" s="98"/>
      <c r="Y211" s="102"/>
      <c r="Z211" s="98"/>
      <c r="AA211" s="98"/>
      <c r="AB211" s="98"/>
      <c r="AC211" s="91"/>
      <c r="AD211" s="98"/>
      <c r="AE211" s="98"/>
      <c r="AF211" s="98"/>
      <c r="AG211" s="91"/>
      <c r="AH211" s="305">
        <v>1</v>
      </c>
      <c r="AI211" s="299">
        <f>+AH211*G211*D211*0.17</f>
        <v>1.7139541421300004</v>
      </c>
      <c r="AK211" s="301">
        <f t="shared" ref="AK211" si="527">+IF(D211=0.667,E211*F211*G211,0)</f>
        <v>0</v>
      </c>
      <c r="AL211" s="301">
        <f t="shared" ref="AL211" si="528">+IF(D211=0.333,E211*F211*G211,0)</f>
        <v>0</v>
      </c>
      <c r="AM211" s="301"/>
      <c r="AN211" s="301">
        <f>+IF(D211=0.333,1.33,0)</f>
        <v>0</v>
      </c>
      <c r="AO211" s="299"/>
      <c r="AP211" s="301"/>
      <c r="AQ211" s="301"/>
      <c r="AT211" s="28">
        <f t="shared" si="504"/>
        <v>0</v>
      </c>
    </row>
    <row r="212" spans="2:46" s="28" customFormat="1" ht="20.100000000000001" customHeight="1" x14ac:dyDescent="0.3">
      <c r="B212" s="18"/>
      <c r="C212" s="62" t="s">
        <v>48</v>
      </c>
      <c r="D212" s="298">
        <v>0.66700000000000004</v>
      </c>
      <c r="E212" s="18">
        <f>-1*0</f>
        <v>0</v>
      </c>
      <c r="F212" s="92">
        <f>1*0</f>
        <v>0</v>
      </c>
      <c r="G212" s="20">
        <v>5</v>
      </c>
      <c r="H212" s="20">
        <f t="shared" ref="H212" si="529">+D212</f>
        <v>0.66700000000000004</v>
      </c>
      <c r="I212" s="21"/>
      <c r="J212" s="81"/>
      <c r="K212" s="103">
        <f t="shared" ref="K212" si="530">+IF(D212=0.667,E212*F212*G212*H212*J212,0)</f>
        <v>0</v>
      </c>
      <c r="L212" s="103">
        <f t="shared" ref="L212" si="531">+IF(D212=0.333,E212*F212*G212*J212,0)</f>
        <v>0</v>
      </c>
      <c r="M212" s="81">
        <v>2.25</v>
      </c>
      <c r="N212" s="103">
        <f t="shared" ref="N212" si="532">+IF(D212=0.667,E212*F212*G212*H212*M212,0)</f>
        <v>0</v>
      </c>
      <c r="O212" s="103">
        <f t="shared" ref="O212" si="533">+IF(D212=0.333,E212*F212*G212*M212,0)</f>
        <v>0</v>
      </c>
      <c r="P212" s="81"/>
      <c r="Q212" s="103">
        <f t="shared" ref="Q212" si="534">+IF(D212=0.667,E212*F212*G212*H212*P212,0)</f>
        <v>0</v>
      </c>
      <c r="R212" s="103">
        <f t="shared" ref="R212" si="535">+IF(D212=0.333,E212*F212*G212*P212,0)</f>
        <v>0</v>
      </c>
      <c r="S212" s="104">
        <f t="shared" si="526"/>
        <v>0</v>
      </c>
      <c r="T212" s="104">
        <f t="shared" si="526"/>
        <v>0</v>
      </c>
      <c r="U212" s="18"/>
      <c r="V212" s="26"/>
      <c r="W212" s="21">
        <f>+G212+D212</f>
        <v>5.6669999999999998</v>
      </c>
      <c r="X212" s="21">
        <v>0.5</v>
      </c>
      <c r="Y212" s="21">
        <f>+IF(D212=0.667,-E212*F212*H212*W212*X212,0)</f>
        <v>0</v>
      </c>
      <c r="Z212" s="21">
        <f>+IF(D212=0.333,-E212*F212*H212*W212*X212,0)</f>
        <v>0</v>
      </c>
      <c r="AA212" s="21">
        <f>+F212*G212*H212</f>
        <v>0</v>
      </c>
      <c r="AB212" s="21">
        <f t="shared" ref="AB212" si="536">2*F212*W212*X212</f>
        <v>0</v>
      </c>
      <c r="AC212" s="27"/>
      <c r="AD212" s="21">
        <v>0.16700000000000001</v>
      </c>
      <c r="AE212" s="21">
        <f t="shared" ref="AE212" si="537">+IF(D212=0.667,AD212*W212*H212*F212,0)</f>
        <v>0</v>
      </c>
      <c r="AF212" s="21">
        <f t="shared" ref="AF212" si="538">+IF(D212=0.333,AD212*W212*H212*F212,0)</f>
        <v>0</v>
      </c>
      <c r="AG212" s="27"/>
      <c r="AH212" s="396"/>
      <c r="AI212" s="21">
        <f t="shared" ref="AI212" si="539">+AH212*G212*D212*0.17</f>
        <v>0</v>
      </c>
      <c r="AK212" s="301"/>
      <c r="AL212" s="301"/>
      <c r="AM212" s="301"/>
      <c r="AN212" s="301"/>
      <c r="AO212" s="299"/>
      <c r="AP212" s="301"/>
      <c r="AQ212" s="301"/>
      <c r="AT212" s="28">
        <f t="shared" si="504"/>
        <v>0</v>
      </c>
    </row>
    <row r="213" spans="2:46" s="28" customFormat="1" ht="20.100000000000001" customHeight="1" x14ac:dyDescent="0.3">
      <c r="B213" s="92"/>
      <c r="C213" s="95" t="s">
        <v>32</v>
      </c>
      <c r="D213" s="98">
        <v>0.66700000000000004</v>
      </c>
      <c r="E213" s="92">
        <v>1</v>
      </c>
      <c r="F213" s="92">
        <v>1</v>
      </c>
      <c r="G213" s="555">
        <f>(3.08*0+7.425)*3.281</f>
        <v>24.361425000000001</v>
      </c>
      <c r="H213" s="98">
        <f>+D213</f>
        <v>0.66700000000000004</v>
      </c>
      <c r="I213" s="94">
        <v>2</v>
      </c>
      <c r="J213" s="99">
        <v>3</v>
      </c>
      <c r="K213" s="100">
        <f>+IF(D213=0.667,E213*F213*G213*H213*J213,0)</f>
        <v>48.747211425000003</v>
      </c>
      <c r="L213" s="100">
        <f>+IF(D213=0.333,E213*F213*G213*J213,0)</f>
        <v>0</v>
      </c>
      <c r="M213" s="99">
        <v>4</v>
      </c>
      <c r="N213" s="100">
        <f>+IF(D213=0.667,E213*F213*G213*H213*M213,0)</f>
        <v>64.9962819</v>
      </c>
      <c r="O213" s="100">
        <f>+IF(D213=0.333,E213*F213*G213*M213,0)</f>
        <v>0</v>
      </c>
      <c r="P213" s="81">
        <f>11.833-I213-M213-J213</f>
        <v>2.8330000000000002</v>
      </c>
      <c r="Q213" s="100">
        <f>+IF(D213=0.667,E213*F213*G213*H213*P213,0)</f>
        <v>46.033616655675004</v>
      </c>
      <c r="R213" s="100">
        <f>+IF(D213=0.333,E213*F213*G213*P213,0)</f>
        <v>0</v>
      </c>
      <c r="S213" s="101">
        <f t="shared" si="526"/>
        <v>159.77710998067499</v>
      </c>
      <c r="T213" s="101">
        <f t="shared" si="526"/>
        <v>0</v>
      </c>
      <c r="U213" s="92"/>
      <c r="V213" s="91"/>
      <c r="W213" s="102"/>
      <c r="X213" s="98"/>
      <c r="Y213" s="102"/>
      <c r="Z213" s="98"/>
      <c r="AA213" s="98"/>
      <c r="AB213" s="98"/>
      <c r="AC213" s="91"/>
      <c r="AD213" s="98"/>
      <c r="AE213" s="98"/>
      <c r="AF213" s="98"/>
      <c r="AG213" s="91"/>
      <c r="AH213" s="305">
        <v>1</v>
      </c>
      <c r="AI213" s="299">
        <f>+AH213*G213*D213*0.17</f>
        <v>2.76234198075</v>
      </c>
      <c r="AK213" s="301">
        <f t="shared" ref="AK213" si="540">+IF(D213=0.667,E213*F213*G213,0)</f>
        <v>24.361425000000001</v>
      </c>
      <c r="AL213" s="301">
        <f t="shared" ref="AL213" si="541">+IF(D213=0.333,E213*F213*G213,0)</f>
        <v>0</v>
      </c>
      <c r="AM213" s="301"/>
      <c r="AN213" s="301">
        <f>+IF(D213=0.333,1.33,0)</f>
        <v>0</v>
      </c>
      <c r="AO213" s="299"/>
      <c r="AP213" s="301"/>
      <c r="AQ213" s="301"/>
      <c r="AT213" s="28">
        <f t="shared" si="504"/>
        <v>24.361425000000001</v>
      </c>
    </row>
    <row r="214" spans="2:46" s="28" customFormat="1" ht="20.100000000000001" customHeight="1" x14ac:dyDescent="0.3">
      <c r="B214" s="18"/>
      <c r="C214" s="62" t="s">
        <v>48</v>
      </c>
      <c r="D214" s="298">
        <v>0.66700000000000004</v>
      </c>
      <c r="E214" s="18">
        <v>-1</v>
      </c>
      <c r="F214" s="18">
        <v>1</v>
      </c>
      <c r="G214" s="556">
        <v>5</v>
      </c>
      <c r="H214" s="20">
        <f t="shared" ref="H214:H215" si="542">+D214</f>
        <v>0.66700000000000004</v>
      </c>
      <c r="I214" s="21"/>
      <c r="J214" s="81"/>
      <c r="K214" s="103">
        <f t="shared" ref="K214:K215" si="543">+IF(D214=0.667,E214*F214*G214*H214*J214,0)</f>
        <v>0</v>
      </c>
      <c r="L214" s="103">
        <f t="shared" ref="L214:L215" si="544">+IF(D214=0.333,E214*F214*G214*J214,0)</f>
        <v>0</v>
      </c>
      <c r="M214" s="81">
        <v>2.25</v>
      </c>
      <c r="N214" s="103">
        <f t="shared" ref="N214:N215" si="545">+IF(D214=0.667,E214*F214*G214*H214*M214,0)</f>
        <v>-7.5037500000000001</v>
      </c>
      <c r="O214" s="103">
        <f t="shared" ref="O214:O215" si="546">+IF(D214=0.333,E214*F214*G214*M214,0)</f>
        <v>0</v>
      </c>
      <c r="P214" s="81"/>
      <c r="Q214" s="103">
        <f t="shared" ref="Q214:Q215" si="547">+IF(D214=0.667,E214*F214*G214*H214*P214,0)</f>
        <v>0</v>
      </c>
      <c r="R214" s="103">
        <f t="shared" ref="R214:R215" si="548">+IF(D214=0.333,E214*F214*G214*P214,0)</f>
        <v>0</v>
      </c>
      <c r="S214" s="104">
        <f t="shared" si="526"/>
        <v>-7.5037500000000001</v>
      </c>
      <c r="T214" s="104">
        <f t="shared" si="526"/>
        <v>0</v>
      </c>
      <c r="U214" s="18"/>
      <c r="V214" s="26"/>
      <c r="W214" s="21">
        <f>+G214+D214</f>
        <v>5.6669999999999998</v>
      </c>
      <c r="X214" s="21">
        <v>0.5</v>
      </c>
      <c r="Y214" s="21">
        <f>+IF(D214=0.667,-E214*F214*H214*W214*X214,0)</f>
        <v>1.8899445000000001</v>
      </c>
      <c r="Z214" s="21">
        <f>+IF(D214=0.333,-E214*F214*H214*W214*X214,0)</f>
        <v>0</v>
      </c>
      <c r="AA214" s="21">
        <f>+F214*G214*H214</f>
        <v>3.335</v>
      </c>
      <c r="AB214" s="21">
        <f t="shared" ref="AB214" si="549">2*F214*W214*X214</f>
        <v>5.6669999999999998</v>
      </c>
      <c r="AC214" s="27"/>
      <c r="AD214" s="21">
        <v>0.16700000000000001</v>
      </c>
      <c r="AE214" s="21">
        <f t="shared" ref="AE214" si="550">+IF(D214=0.667,AD214*W214*H214*F214,0)</f>
        <v>0.63124146300000006</v>
      </c>
      <c r="AF214" s="21">
        <f t="shared" ref="AF214" si="551">+IF(D214=0.333,AD214*W214*H214*F214,0)</f>
        <v>0</v>
      </c>
      <c r="AG214" s="27"/>
      <c r="AH214" s="396"/>
      <c r="AI214" s="21">
        <f t="shared" ref="AI214" si="552">+AH214*G214*D214*0.17</f>
        <v>0</v>
      </c>
      <c r="AK214" s="301"/>
      <c r="AL214" s="301"/>
      <c r="AM214" s="301"/>
      <c r="AN214" s="301"/>
      <c r="AO214" s="299"/>
      <c r="AP214" s="301"/>
      <c r="AQ214" s="301"/>
      <c r="AT214" s="28">
        <f t="shared" si="504"/>
        <v>-5</v>
      </c>
    </row>
    <row r="215" spans="2:46" s="28" customFormat="1" ht="20.100000000000001" customHeight="1" x14ac:dyDescent="0.3">
      <c r="B215" s="677"/>
      <c r="C215" s="678" t="s">
        <v>571</v>
      </c>
      <c r="D215" s="298">
        <v>0.66700000000000004</v>
      </c>
      <c r="E215" s="18">
        <v>-1</v>
      </c>
      <c r="F215" s="18">
        <v>1</v>
      </c>
      <c r="G215" s="679">
        <v>3.3330000000000002</v>
      </c>
      <c r="H215" s="20">
        <f t="shared" si="542"/>
        <v>0.66700000000000004</v>
      </c>
      <c r="I215" s="683"/>
      <c r="J215" s="680">
        <v>3</v>
      </c>
      <c r="K215" s="103">
        <f t="shared" si="543"/>
        <v>-6.6693330000000008</v>
      </c>
      <c r="L215" s="103">
        <f t="shared" si="544"/>
        <v>0</v>
      </c>
      <c r="M215" s="680">
        <f>2*3.28-3</f>
        <v>3.5599999999999996</v>
      </c>
      <c r="N215" s="103">
        <f t="shared" si="545"/>
        <v>-7.9142751599999999</v>
      </c>
      <c r="O215" s="103">
        <f t="shared" si="546"/>
        <v>0</v>
      </c>
      <c r="P215" s="681"/>
      <c r="Q215" s="100">
        <f t="shared" si="547"/>
        <v>0</v>
      </c>
      <c r="R215" s="100">
        <f t="shared" si="548"/>
        <v>0</v>
      </c>
      <c r="S215" s="104">
        <f t="shared" si="526"/>
        <v>-14.583608160000001</v>
      </c>
      <c r="T215" s="104">
        <f t="shared" si="526"/>
        <v>0</v>
      </c>
      <c r="U215" s="677"/>
      <c r="V215" s="682"/>
      <c r="W215" s="683"/>
      <c r="X215" s="683"/>
      <c r="Y215" s="683"/>
      <c r="Z215" s="683"/>
      <c r="AA215" s="683"/>
      <c r="AB215" s="683"/>
      <c r="AC215" s="681"/>
      <c r="AD215" s="683"/>
      <c r="AE215" s="683"/>
      <c r="AF215" s="683"/>
      <c r="AG215" s="681"/>
      <c r="AH215" s="684"/>
      <c r="AI215" s="683"/>
      <c r="AK215" s="685"/>
      <c r="AL215" s="685"/>
      <c r="AM215" s="685"/>
      <c r="AN215" s="685"/>
      <c r="AO215" s="683"/>
      <c r="AP215" s="685"/>
      <c r="AQ215" s="685"/>
      <c r="AT215" s="28">
        <f t="shared" si="504"/>
        <v>-3.3330000000000002</v>
      </c>
    </row>
    <row r="216" spans="2:46" s="28" customFormat="1" ht="20.100000000000001" customHeight="1" x14ac:dyDescent="0.3">
      <c r="B216" s="92"/>
      <c r="C216" s="95" t="s">
        <v>43</v>
      </c>
      <c r="D216" s="98">
        <v>0.66700000000000004</v>
      </c>
      <c r="E216" s="92">
        <f>1*0</f>
        <v>0</v>
      </c>
      <c r="F216" s="92">
        <f>1*0</f>
        <v>0</v>
      </c>
      <c r="G216" s="98">
        <f>(1.425+2.61+1.625)*3.281</f>
        <v>18.570460000000001</v>
      </c>
      <c r="H216" s="98">
        <f>+D216</f>
        <v>0.66700000000000004</v>
      </c>
      <c r="I216" s="94">
        <v>2</v>
      </c>
      <c r="J216" s="99">
        <v>3</v>
      </c>
      <c r="K216" s="100">
        <f>+IF(D216=0.667,E216*F216*G216*H216*J216,0)</f>
        <v>0</v>
      </c>
      <c r="L216" s="100">
        <f>+IF(D216=0.333,E216*F216*G216*J216,0)</f>
        <v>0</v>
      </c>
      <c r="M216" s="99">
        <v>4</v>
      </c>
      <c r="N216" s="100">
        <f>+IF(D216=0.667,E216*F216*G216*H216*M216,0)</f>
        <v>0</v>
      </c>
      <c r="O216" s="100">
        <f>+IF(D216=0.333,E216*F216*G216*M216,0)</f>
        <v>0</v>
      </c>
      <c r="P216" s="81">
        <f>11.833-I216-M216-J216</f>
        <v>2.8330000000000002</v>
      </c>
      <c r="Q216" s="100">
        <f>+IF(D216=0.667,E216*F216*G216*H216*P216,0)</f>
        <v>0</v>
      </c>
      <c r="R216" s="100">
        <f>+IF(D216=0.333,E216*F216*G216*P216,0)</f>
        <v>0</v>
      </c>
      <c r="S216" s="101">
        <f t="shared" si="526"/>
        <v>0</v>
      </c>
      <c r="T216" s="101">
        <f t="shared" si="526"/>
        <v>0</v>
      </c>
      <c r="U216" s="92"/>
      <c r="V216" s="91"/>
      <c r="W216" s="102"/>
      <c r="X216" s="98"/>
      <c r="Y216" s="102"/>
      <c r="Z216" s="98"/>
      <c r="AA216" s="98"/>
      <c r="AB216" s="98"/>
      <c r="AC216" s="91"/>
      <c r="AD216" s="98"/>
      <c r="AE216" s="98"/>
      <c r="AF216" s="98"/>
      <c r="AG216" s="91"/>
      <c r="AH216" s="305">
        <v>1</v>
      </c>
      <c r="AI216" s="299">
        <f>+AH216*G216*D216*0.17</f>
        <v>2.1057044594000005</v>
      </c>
      <c r="AK216" s="301">
        <f t="shared" ref="AK216" si="553">+IF(D216=0.667,E216*F216*G216,0)</f>
        <v>0</v>
      </c>
      <c r="AL216" s="301">
        <f t="shared" ref="AL216" si="554">+IF(D216=0.333,E216*F216*G216,0)</f>
        <v>0</v>
      </c>
      <c r="AM216" s="301"/>
      <c r="AN216" s="301">
        <f>+IF(D216=0.333,1.33,0)</f>
        <v>0</v>
      </c>
      <c r="AO216" s="299"/>
      <c r="AP216" s="301"/>
      <c r="AQ216" s="301"/>
      <c r="AT216" s="28">
        <f t="shared" si="504"/>
        <v>0</v>
      </c>
    </row>
    <row r="217" spans="2:46" s="28" customFormat="1" ht="20.100000000000001" customHeight="1" x14ac:dyDescent="0.3">
      <c r="B217" s="18"/>
      <c r="C217" s="62" t="s">
        <v>246</v>
      </c>
      <c r="D217" s="298">
        <v>0.66700000000000004</v>
      </c>
      <c r="E217" s="18">
        <f>-1*0</f>
        <v>0</v>
      </c>
      <c r="F217" s="18">
        <f>2*0</f>
        <v>0</v>
      </c>
      <c r="G217" s="20">
        <v>2</v>
      </c>
      <c r="H217" s="20">
        <f t="shared" ref="H217" si="555">+D217</f>
        <v>0.66700000000000004</v>
      </c>
      <c r="I217" s="21"/>
      <c r="J217" s="81"/>
      <c r="K217" s="103">
        <f t="shared" ref="K217" si="556">+IF(D217=0.667,E217*F217*G217*H217*J217,0)</f>
        <v>0</v>
      </c>
      <c r="L217" s="103">
        <f t="shared" ref="L217" si="557">+IF(D217=0.333,E217*F217*G217*J217,0)</f>
        <v>0</v>
      </c>
      <c r="M217" s="81">
        <v>0</v>
      </c>
      <c r="N217" s="103">
        <f t="shared" ref="N217" si="558">+IF(D217=0.667,E217*F217*G217*H217*M217,0)</f>
        <v>0</v>
      </c>
      <c r="O217" s="103">
        <f t="shared" ref="O217" si="559">+IF(D217=0.333,E217*F217*G217*M217,0)</f>
        <v>0</v>
      </c>
      <c r="P217" s="81">
        <v>2</v>
      </c>
      <c r="Q217" s="103">
        <f t="shared" ref="Q217" si="560">+IF(D217=0.667,E217*F217*G217*H217*P217,0)</f>
        <v>0</v>
      </c>
      <c r="R217" s="103">
        <f t="shared" ref="R217" si="561">+IF(D217=0.333,E217*F217*G217*P217,0)</f>
        <v>0</v>
      </c>
      <c r="S217" s="104">
        <f t="shared" si="526"/>
        <v>0</v>
      </c>
      <c r="T217" s="104">
        <f t="shared" si="526"/>
        <v>0</v>
      </c>
      <c r="U217" s="18"/>
      <c r="V217" s="26"/>
      <c r="W217" s="21">
        <f>+G217+D217</f>
        <v>2.6669999999999998</v>
      </c>
      <c r="X217" s="21">
        <v>0.5</v>
      </c>
      <c r="Y217" s="21">
        <f>+IF(D217=0.667,-E217*F217*H217*W217*X217,0)</f>
        <v>0</v>
      </c>
      <c r="Z217" s="21">
        <f>+IF(D217=0.333,-E217*F217*H217*W217*X217,0)</f>
        <v>0</v>
      </c>
      <c r="AA217" s="21">
        <f>+F217*G217*H217</f>
        <v>0</v>
      </c>
      <c r="AB217" s="21">
        <f t="shared" ref="AB217" si="562">2*F217*W217*X217</f>
        <v>0</v>
      </c>
      <c r="AC217" s="27"/>
      <c r="AD217" s="21">
        <v>0.16700000000000001</v>
      </c>
      <c r="AE217" s="21">
        <f t="shared" ref="AE217" si="563">+IF(D217=0.667,AD217*W217*H217*F217,0)</f>
        <v>0</v>
      </c>
      <c r="AF217" s="21">
        <f t="shared" ref="AF217" si="564">+IF(D217=0.333,AD217*W217*H217*F217,0)</f>
        <v>0</v>
      </c>
      <c r="AG217" s="27"/>
      <c r="AH217" s="396"/>
      <c r="AI217" s="21">
        <f t="shared" ref="AI217" si="565">+AH217*G217*D217*0.17</f>
        <v>0</v>
      </c>
      <c r="AK217" s="301"/>
      <c r="AL217" s="301"/>
      <c r="AM217" s="301"/>
      <c r="AN217" s="301"/>
      <c r="AO217" s="299"/>
      <c r="AP217" s="301"/>
      <c r="AQ217" s="301"/>
      <c r="AT217" s="28">
        <f t="shared" si="504"/>
        <v>0</v>
      </c>
    </row>
    <row r="218" spans="2:46" s="28" customFormat="1" ht="20.100000000000001" customHeight="1" x14ac:dyDescent="0.3">
      <c r="B218" s="92"/>
      <c r="C218" s="95" t="s">
        <v>359</v>
      </c>
      <c r="D218" s="98">
        <v>0.66700000000000004</v>
      </c>
      <c r="E218" s="92">
        <f>1*0</f>
        <v>0</v>
      </c>
      <c r="F218" s="92">
        <f>1*0</f>
        <v>0</v>
      </c>
      <c r="G218" s="98">
        <f>(6.395)*3.281</f>
        <v>20.981994999999998</v>
      </c>
      <c r="H218" s="98">
        <f>+D218</f>
        <v>0.66700000000000004</v>
      </c>
      <c r="I218" s="94">
        <v>2</v>
      </c>
      <c r="J218" s="99">
        <v>3</v>
      </c>
      <c r="K218" s="100">
        <f>+IF(D218=0.667,E218*F218*G218*H218*J218,0)</f>
        <v>0</v>
      </c>
      <c r="L218" s="100">
        <f>+IF(D218=0.333,E218*F218*G218*J218,0)</f>
        <v>0</v>
      </c>
      <c r="M218" s="99">
        <v>4</v>
      </c>
      <c r="N218" s="100">
        <f>+IF(D218=0.667,E218*F218*G218*H218*M218,0)</f>
        <v>0</v>
      </c>
      <c r="O218" s="100">
        <f>+IF(D218=0.333,E218*F218*G218*M218,0)</f>
        <v>0</v>
      </c>
      <c r="P218" s="81">
        <f>11.833-I218-M218-J218</f>
        <v>2.8330000000000002</v>
      </c>
      <c r="Q218" s="100">
        <f>+IF(D218=0.667,E218*F218*G218*H218*P218,0)</f>
        <v>0</v>
      </c>
      <c r="R218" s="100">
        <f>+IF(D218=0.333,E218*F218*G218*P218,0)</f>
        <v>0</v>
      </c>
      <c r="S218" s="101">
        <f t="shared" si="526"/>
        <v>0</v>
      </c>
      <c r="T218" s="101">
        <f t="shared" si="526"/>
        <v>0</v>
      </c>
      <c r="U218" s="92"/>
      <c r="V218" s="91"/>
      <c r="W218" s="102"/>
      <c r="X218" s="98"/>
      <c r="Y218" s="102"/>
      <c r="Z218" s="98"/>
      <c r="AA218" s="98"/>
      <c r="AB218" s="98"/>
      <c r="AC218" s="91"/>
      <c r="AD218" s="98"/>
      <c r="AE218" s="98"/>
      <c r="AF218" s="98"/>
      <c r="AG218" s="91"/>
      <c r="AH218" s="305">
        <v>1</v>
      </c>
      <c r="AI218" s="299">
        <f>+AH218*G218*D218*0.17</f>
        <v>2.3791484130500002</v>
      </c>
      <c r="AK218" s="301">
        <f t="shared" ref="AK218:AK223" si="566">+IF(D218=0.667,E218*F218*G218,0)</f>
        <v>0</v>
      </c>
      <c r="AL218" s="301">
        <f t="shared" ref="AL218:AL222" si="567">+IF(D218=0.333,E218*F218*G218,0)</f>
        <v>0</v>
      </c>
      <c r="AM218" s="301"/>
      <c r="AN218" s="301">
        <f>+IF(D218=0.333,1.33,0)</f>
        <v>0</v>
      </c>
      <c r="AO218" s="299"/>
      <c r="AP218" s="301"/>
      <c r="AQ218" s="301"/>
      <c r="AT218" s="28">
        <f t="shared" si="504"/>
        <v>0</v>
      </c>
    </row>
    <row r="219" spans="2:46" s="28" customFormat="1" ht="20.100000000000001" customHeight="1" x14ac:dyDescent="0.3">
      <c r="B219" s="18"/>
      <c r="C219" s="62" t="s">
        <v>34</v>
      </c>
      <c r="D219" s="98">
        <v>0.66700000000000004</v>
      </c>
      <c r="E219" s="18">
        <f>-1*0</f>
        <v>0</v>
      </c>
      <c r="F219" s="18">
        <f>1*0</f>
        <v>0</v>
      </c>
      <c r="G219" s="20">
        <v>3.25</v>
      </c>
      <c r="H219" s="20">
        <f t="shared" ref="H219" si="568">+D219</f>
        <v>0.66700000000000004</v>
      </c>
      <c r="I219" s="21"/>
      <c r="J219" s="81">
        <v>3</v>
      </c>
      <c r="K219" s="103">
        <f t="shared" ref="K219" si="569">+IF(D219=0.667,E219*F219*G219*H219*J219,0)</f>
        <v>0</v>
      </c>
      <c r="L219" s="103">
        <f t="shared" ref="L219" si="570">+IF(D219=0.333,E219*F219*G219*J219,0)</f>
        <v>0</v>
      </c>
      <c r="M219" s="81">
        <v>4</v>
      </c>
      <c r="N219" s="103">
        <f t="shared" ref="N219" si="571">+IF(D219=0.667,E219*F219*G219*H219*M219,0)</f>
        <v>0</v>
      </c>
      <c r="O219" s="103">
        <f t="shared" ref="O219" si="572">+IF(D219=0.333,E219*F219*G219*M219,0)</f>
        <v>0</v>
      </c>
      <c r="P219" s="81"/>
      <c r="Q219" s="103">
        <f t="shared" ref="Q219" si="573">+IF(D219=0.667,E219*F219*G219*H219*P219,0)</f>
        <v>0</v>
      </c>
      <c r="R219" s="103">
        <f t="shared" ref="R219" si="574">+IF(D219=0.333,E219*F219*G219*P219,0)</f>
        <v>0</v>
      </c>
      <c r="S219" s="104">
        <f t="shared" si="526"/>
        <v>0</v>
      </c>
      <c r="T219" s="104">
        <f t="shared" si="526"/>
        <v>0</v>
      </c>
      <c r="U219" s="18"/>
      <c r="V219" s="26"/>
      <c r="W219" s="21">
        <f>+G219+D219</f>
        <v>3.9169999999999998</v>
      </c>
      <c r="X219" s="21">
        <v>0.5</v>
      </c>
      <c r="Y219" s="21">
        <f>+IF(D219=0.667,-E219*F219*H219*W219*X219,0)</f>
        <v>0</v>
      </c>
      <c r="Z219" s="21">
        <f>+IF(D219=0.333,-E219*F219*H219*W219*X219,0)</f>
        <v>0</v>
      </c>
      <c r="AA219" s="21">
        <f>+F219*G219*H219</f>
        <v>0</v>
      </c>
      <c r="AB219" s="21">
        <f t="shared" ref="AB219" si="575">2*F219*W219*X219</f>
        <v>0</v>
      </c>
      <c r="AC219" s="27"/>
      <c r="AD219" s="21"/>
      <c r="AE219" s="21">
        <f t="shared" ref="AE219" si="576">+IF(D219=0.667,AD219*W219*H219*F219,0)</f>
        <v>0</v>
      </c>
      <c r="AF219" s="21">
        <f t="shared" ref="AF219" si="577">+IF(D219=0.333,AD219*W219*H219*F219,0)</f>
        <v>0</v>
      </c>
      <c r="AG219" s="27"/>
      <c r="AH219" s="396"/>
      <c r="AI219" s="21">
        <f t="shared" ref="AI219" si="578">+AH219*G219*D219*0.17</f>
        <v>0</v>
      </c>
      <c r="AK219" s="301">
        <f t="shared" si="566"/>
        <v>0</v>
      </c>
      <c r="AL219" s="301">
        <f t="shared" si="567"/>
        <v>0</v>
      </c>
      <c r="AM219" s="301">
        <f>+IF(D219=0.667,1.33,0)*0</f>
        <v>0</v>
      </c>
      <c r="AN219" s="301">
        <f>+IF(D219=0.333,1.33,0)</f>
        <v>0</v>
      </c>
      <c r="AO219" s="299"/>
      <c r="AP219" s="301"/>
      <c r="AQ219" s="301"/>
      <c r="AT219" s="28">
        <f t="shared" si="504"/>
        <v>0</v>
      </c>
    </row>
    <row r="220" spans="2:46" s="28" customFormat="1" ht="25.5" customHeight="1" x14ac:dyDescent="0.3">
      <c r="B220" s="92"/>
      <c r="C220" s="62" t="s">
        <v>366</v>
      </c>
      <c r="D220" s="98">
        <v>0.33300000000000002</v>
      </c>
      <c r="E220" s="92">
        <f>1*0</f>
        <v>0</v>
      </c>
      <c r="F220" s="92">
        <f>1*0</f>
        <v>0</v>
      </c>
      <c r="G220" s="98">
        <f>(2.135+1.625+3.43)*3.281</f>
        <v>23.590389999999999</v>
      </c>
      <c r="H220" s="98">
        <f>+D220</f>
        <v>0.33300000000000002</v>
      </c>
      <c r="I220" s="94">
        <v>2</v>
      </c>
      <c r="J220" s="99">
        <v>3</v>
      </c>
      <c r="K220" s="100">
        <f>+IF(D220=0.667,E220*F220*G220*H220*J220,0)</f>
        <v>0</v>
      </c>
      <c r="L220" s="100">
        <f>+IF(D220=0.333,E220*F220*G220*J220,0)</f>
        <v>0</v>
      </c>
      <c r="M220" s="99">
        <v>4</v>
      </c>
      <c r="N220" s="100">
        <f>+IF(D220=0.667,E220*F220*G220*H220*M220,0)</f>
        <v>0</v>
      </c>
      <c r="O220" s="100">
        <f>+IF(D220=0.333,E220*F220*G220*M220,0)</f>
        <v>0</v>
      </c>
      <c r="P220" s="81">
        <f>11.833-I220-M220-J220</f>
        <v>2.8330000000000002</v>
      </c>
      <c r="Q220" s="100">
        <f>+IF(D220=0.667,E220*F220*G220*H220*P220,0)</f>
        <v>0</v>
      </c>
      <c r="R220" s="100">
        <f>+IF(D220=0.333,E220*F220*G220*P220,0)</f>
        <v>0</v>
      </c>
      <c r="S220" s="101">
        <f t="shared" si="526"/>
        <v>0</v>
      </c>
      <c r="T220" s="101">
        <f t="shared" si="526"/>
        <v>0</v>
      </c>
      <c r="U220" s="92"/>
      <c r="V220" s="91"/>
      <c r="W220" s="102"/>
      <c r="X220" s="98"/>
      <c r="Y220" s="102"/>
      <c r="Z220" s="98"/>
      <c r="AA220" s="98"/>
      <c r="AB220" s="98"/>
      <c r="AC220" s="91"/>
      <c r="AD220" s="98"/>
      <c r="AE220" s="98"/>
      <c r="AF220" s="98"/>
      <c r="AG220" s="91"/>
      <c r="AH220" s="304">
        <v>1</v>
      </c>
      <c r="AI220" s="299">
        <f>+AH220*G220*D220*0.17</f>
        <v>1.3354519779</v>
      </c>
      <c r="AK220" s="301">
        <f t="shared" si="566"/>
        <v>0</v>
      </c>
      <c r="AL220" s="301">
        <f t="shared" si="567"/>
        <v>0</v>
      </c>
      <c r="AM220" s="301"/>
      <c r="AN220" s="301"/>
      <c r="AO220" s="299"/>
      <c r="AP220" s="301"/>
      <c r="AQ220" s="301"/>
      <c r="AT220" s="28">
        <f t="shared" si="504"/>
        <v>0</v>
      </c>
    </row>
    <row r="221" spans="2:46" s="28" customFormat="1" ht="20.100000000000001" customHeight="1" x14ac:dyDescent="0.3">
      <c r="B221" s="18"/>
      <c r="C221" s="62" t="s">
        <v>337</v>
      </c>
      <c r="D221" s="98">
        <v>0.33300000000000002</v>
      </c>
      <c r="E221" s="18">
        <f>-1*0</f>
        <v>0</v>
      </c>
      <c r="F221" s="18">
        <f>1*0</f>
        <v>0</v>
      </c>
      <c r="G221" s="20">
        <v>2.5</v>
      </c>
      <c r="H221" s="20">
        <f t="shared" ref="H221:H223" si="579">+D221</f>
        <v>0.33300000000000002</v>
      </c>
      <c r="I221" s="21"/>
      <c r="J221" s="81">
        <v>3</v>
      </c>
      <c r="K221" s="103">
        <f t="shared" ref="K221:K223" si="580">+IF(D221=0.667,E221*F221*G221*H221*J221,0)</f>
        <v>0</v>
      </c>
      <c r="L221" s="103">
        <f t="shared" ref="L221:L223" si="581">+IF(D221=0.333,E221*F221*G221*J221,0)</f>
        <v>0</v>
      </c>
      <c r="M221" s="81">
        <v>3</v>
      </c>
      <c r="N221" s="103">
        <f t="shared" ref="N221:N223" si="582">+IF(D221=0.667,E221*F221*G221*H221*M221,0)</f>
        <v>0</v>
      </c>
      <c r="O221" s="103">
        <f t="shared" ref="O221:O223" si="583">+IF(D221=0.333,E221*F221*G221*M221,0)</f>
        <v>0</v>
      </c>
      <c r="P221" s="81"/>
      <c r="Q221" s="103">
        <f t="shared" ref="Q221:Q223" si="584">+IF(D221=0.667,E221*F221*G221*H221*P221,0)</f>
        <v>0</v>
      </c>
      <c r="R221" s="103">
        <f t="shared" ref="R221:R223" si="585">+IF(D221=0.333,E221*F221*G221*P221,0)</f>
        <v>0</v>
      </c>
      <c r="S221" s="104">
        <f t="shared" si="526"/>
        <v>0</v>
      </c>
      <c r="T221" s="104">
        <f t="shared" si="526"/>
        <v>0</v>
      </c>
      <c r="U221" s="18"/>
      <c r="V221" s="26"/>
      <c r="W221" s="21">
        <f>+G221+D221</f>
        <v>2.8330000000000002</v>
      </c>
      <c r="X221" s="21">
        <v>0.5</v>
      </c>
      <c r="Y221" s="21">
        <f>+IF(D221=0.667,-E221*F221*H221*W221*X221,0)</f>
        <v>0</v>
      </c>
      <c r="Z221" s="21">
        <f>+IF(D221=0.333,-E221*F221*H221*W221*X221,0)</f>
        <v>0</v>
      </c>
      <c r="AA221" s="21">
        <f>+F221*G221*H221</f>
        <v>0</v>
      </c>
      <c r="AB221" s="21">
        <f t="shared" ref="AB221:AB223" si="586">2*F221*W221*X221</f>
        <v>0</v>
      </c>
      <c r="AC221" s="27"/>
      <c r="AD221" s="21"/>
      <c r="AE221" s="21">
        <f t="shared" ref="AE221:AE223" si="587">+IF(D221=0.667,AD221*W221*H221*F221,0)</f>
        <v>0</v>
      </c>
      <c r="AF221" s="21">
        <f t="shared" ref="AF221:AF223" si="588">+IF(D221=0.333,AD221*W221*H221*F221,0)</f>
        <v>0</v>
      </c>
      <c r="AG221" s="27"/>
      <c r="AH221" s="396"/>
      <c r="AI221" s="21">
        <f t="shared" ref="AI221:AI223" si="589">+AH221*G221*D221*0.17</f>
        <v>0</v>
      </c>
      <c r="AK221" s="301">
        <f t="shared" si="566"/>
        <v>0</v>
      </c>
      <c r="AL221" s="301">
        <f t="shared" si="567"/>
        <v>0</v>
      </c>
      <c r="AM221" s="301"/>
      <c r="AN221" s="301">
        <f>+IF(D221=0.333,1.33,0)*0</f>
        <v>0</v>
      </c>
      <c r="AO221" s="299"/>
      <c r="AP221" s="301"/>
      <c r="AQ221" s="301"/>
      <c r="AT221" s="28">
        <f t="shared" si="504"/>
        <v>0</v>
      </c>
    </row>
    <row r="222" spans="2:46" s="28" customFormat="1" ht="20.100000000000001" customHeight="1" x14ac:dyDescent="0.3">
      <c r="B222" s="18"/>
      <c r="C222" s="62" t="s">
        <v>341</v>
      </c>
      <c r="D222" s="98">
        <v>0.33300000000000002</v>
      </c>
      <c r="E222" s="18">
        <f>-1*0</f>
        <v>0</v>
      </c>
      <c r="F222" s="18">
        <f>1*0</f>
        <v>0</v>
      </c>
      <c r="G222" s="20">
        <v>3.25</v>
      </c>
      <c r="H222" s="20">
        <f t="shared" si="579"/>
        <v>0.33300000000000002</v>
      </c>
      <c r="I222" s="21"/>
      <c r="J222" s="81">
        <v>3</v>
      </c>
      <c r="K222" s="103">
        <f t="shared" si="580"/>
        <v>0</v>
      </c>
      <c r="L222" s="103">
        <f t="shared" si="581"/>
        <v>0</v>
      </c>
      <c r="M222" s="81">
        <v>3</v>
      </c>
      <c r="N222" s="103">
        <f t="shared" si="582"/>
        <v>0</v>
      </c>
      <c r="O222" s="103">
        <f t="shared" si="583"/>
        <v>0</v>
      </c>
      <c r="P222" s="81"/>
      <c r="Q222" s="103">
        <f t="shared" si="584"/>
        <v>0</v>
      </c>
      <c r="R222" s="103">
        <f t="shared" si="585"/>
        <v>0</v>
      </c>
      <c r="S222" s="104">
        <f t="shared" si="526"/>
        <v>0</v>
      </c>
      <c r="T222" s="104">
        <f t="shared" si="526"/>
        <v>0</v>
      </c>
      <c r="U222" s="18"/>
      <c r="V222" s="26"/>
      <c r="W222" s="21">
        <f>+G222+D222</f>
        <v>3.5830000000000002</v>
      </c>
      <c r="X222" s="21">
        <v>0.5</v>
      </c>
      <c r="Y222" s="21">
        <f>+IF(D222=0.667,-E222*F222*H222*W222*X222,0)</f>
        <v>0</v>
      </c>
      <c r="Z222" s="21">
        <f>+IF(D222=0.333,-E222*F222*H222*W222*X222,0)</f>
        <v>0</v>
      </c>
      <c r="AA222" s="21">
        <f>+F222*G222*H222</f>
        <v>0</v>
      </c>
      <c r="AB222" s="21">
        <f t="shared" si="586"/>
        <v>0</v>
      </c>
      <c r="AC222" s="27"/>
      <c r="AD222" s="21"/>
      <c r="AE222" s="21">
        <f t="shared" si="587"/>
        <v>0</v>
      </c>
      <c r="AF222" s="21">
        <f t="shared" si="588"/>
        <v>0</v>
      </c>
      <c r="AG222" s="27"/>
      <c r="AH222" s="396"/>
      <c r="AI222" s="21">
        <f t="shared" si="589"/>
        <v>0</v>
      </c>
      <c r="AK222" s="301">
        <f t="shared" si="566"/>
        <v>0</v>
      </c>
      <c r="AL222" s="301">
        <f t="shared" si="567"/>
        <v>0</v>
      </c>
      <c r="AM222" s="301"/>
      <c r="AN222" s="301">
        <f>+IF(D222=0.333,1.33,0)*0</f>
        <v>0</v>
      </c>
      <c r="AO222" s="299"/>
      <c r="AP222" s="301"/>
      <c r="AQ222" s="301"/>
      <c r="AT222" s="28">
        <f t="shared" si="504"/>
        <v>0</v>
      </c>
    </row>
    <row r="223" spans="2:46" s="28" customFormat="1" ht="20.100000000000001" customHeight="1" x14ac:dyDescent="0.3">
      <c r="B223" s="18"/>
      <c r="C223" s="62" t="s">
        <v>343</v>
      </c>
      <c r="D223" s="298">
        <v>0.33300000000000002</v>
      </c>
      <c r="E223" s="92">
        <f>1*0</f>
        <v>0</v>
      </c>
      <c r="F223" s="92">
        <f>1*0</f>
        <v>0</v>
      </c>
      <c r="G223" s="20">
        <f>(1.05+1.2)*3.281</f>
        <v>7.38225</v>
      </c>
      <c r="H223" s="20">
        <f t="shared" si="579"/>
        <v>0.33300000000000002</v>
      </c>
      <c r="I223" s="21">
        <f>18/12</f>
        <v>1.5</v>
      </c>
      <c r="J223" s="81">
        <v>3</v>
      </c>
      <c r="K223" s="103">
        <f t="shared" si="580"/>
        <v>0</v>
      </c>
      <c r="L223" s="103">
        <f t="shared" si="581"/>
        <v>0</v>
      </c>
      <c r="M223" s="81"/>
      <c r="N223" s="103">
        <f t="shared" si="582"/>
        <v>0</v>
      </c>
      <c r="O223" s="103">
        <f t="shared" si="583"/>
        <v>0</v>
      </c>
      <c r="P223" s="81"/>
      <c r="Q223" s="103">
        <f t="shared" si="584"/>
        <v>0</v>
      </c>
      <c r="R223" s="103">
        <f t="shared" si="585"/>
        <v>0</v>
      </c>
      <c r="S223" s="104">
        <f t="shared" si="526"/>
        <v>0</v>
      </c>
      <c r="T223" s="104">
        <f t="shared" si="526"/>
        <v>0</v>
      </c>
      <c r="U223" s="18"/>
      <c r="V223" s="26"/>
      <c r="W223" s="21"/>
      <c r="X223" s="21"/>
      <c r="Y223" s="21"/>
      <c r="Z223" s="21"/>
      <c r="AA223" s="21"/>
      <c r="AB223" s="21">
        <f t="shared" si="586"/>
        <v>0</v>
      </c>
      <c r="AC223" s="27"/>
      <c r="AD223" s="21"/>
      <c r="AE223" s="21">
        <f t="shared" si="587"/>
        <v>0</v>
      </c>
      <c r="AF223" s="21">
        <f t="shared" si="588"/>
        <v>0</v>
      </c>
      <c r="AG223" s="27"/>
      <c r="AH223" s="396">
        <v>1</v>
      </c>
      <c r="AI223" s="21">
        <f t="shared" si="589"/>
        <v>0.41790917250000004</v>
      </c>
      <c r="AK223" s="301">
        <f t="shared" si="566"/>
        <v>0</v>
      </c>
      <c r="AL223" s="301"/>
      <c r="AM223" s="301"/>
      <c r="AN223" s="301"/>
      <c r="AO223" s="299">
        <f>+E223*F223*G223</f>
        <v>0</v>
      </c>
      <c r="AP223" s="301"/>
      <c r="AQ223" s="301"/>
      <c r="AT223" s="28">
        <f t="shared" si="504"/>
        <v>0</v>
      </c>
    </row>
    <row r="224" spans="2:46" s="28" customFormat="1" ht="20.100000000000001" customHeight="1" x14ac:dyDescent="0.3">
      <c r="B224" s="369"/>
      <c r="C224" s="395"/>
      <c r="D224" s="371"/>
      <c r="E224" s="369"/>
      <c r="F224" s="369"/>
      <c r="G224" s="371"/>
      <c r="H224" s="371"/>
      <c r="I224" s="372"/>
      <c r="J224" s="371"/>
      <c r="K224" s="371"/>
      <c r="L224" s="371"/>
      <c r="M224" s="371"/>
      <c r="N224" s="371"/>
      <c r="O224" s="371"/>
      <c r="P224" s="371"/>
      <c r="Q224" s="371"/>
      <c r="R224" s="371"/>
      <c r="S224" s="371"/>
      <c r="T224" s="371"/>
      <c r="U224" s="369"/>
      <c r="V224" s="370"/>
      <c r="W224" s="372"/>
      <c r="X224" s="371"/>
      <c r="Y224" s="372"/>
      <c r="Z224" s="371"/>
      <c r="AA224" s="371"/>
      <c r="AB224" s="371"/>
      <c r="AC224" s="370"/>
      <c r="AD224" s="371"/>
      <c r="AE224" s="371"/>
      <c r="AF224" s="371"/>
      <c r="AG224" s="370"/>
      <c r="AH224" s="376"/>
      <c r="AI224" s="372"/>
      <c r="AK224" s="377"/>
      <c r="AL224" s="377"/>
      <c r="AM224" s="377"/>
      <c r="AN224" s="377"/>
      <c r="AO224" s="372"/>
      <c r="AP224" s="377"/>
      <c r="AQ224" s="377"/>
      <c r="AT224" s="28">
        <f t="shared" si="504"/>
        <v>0</v>
      </c>
    </row>
    <row r="225" spans="2:46" s="28" customFormat="1" ht="20.100000000000001" customHeight="1" x14ac:dyDescent="0.3">
      <c r="B225" s="369"/>
      <c r="C225" s="97" t="s">
        <v>365</v>
      </c>
      <c r="D225" s="371"/>
      <c r="E225" s="369"/>
      <c r="F225" s="369"/>
      <c r="G225" s="371"/>
      <c r="H225" s="371"/>
      <c r="I225" s="372"/>
      <c r="J225" s="371"/>
      <c r="K225" s="371"/>
      <c r="L225" s="371"/>
      <c r="M225" s="371"/>
      <c r="N225" s="371"/>
      <c r="O225" s="371"/>
      <c r="P225" s="371"/>
      <c r="Q225" s="371"/>
      <c r="R225" s="371"/>
      <c r="S225" s="371"/>
      <c r="T225" s="371"/>
      <c r="U225" s="369"/>
      <c r="V225" s="370"/>
      <c r="W225" s="372"/>
      <c r="X225" s="371"/>
      <c r="Y225" s="372"/>
      <c r="Z225" s="371"/>
      <c r="AA225" s="371"/>
      <c r="AB225" s="371"/>
      <c r="AC225" s="370"/>
      <c r="AD225" s="371"/>
      <c r="AE225" s="371"/>
      <c r="AF225" s="371"/>
      <c r="AG225" s="370"/>
      <c r="AH225" s="376"/>
      <c r="AI225" s="372"/>
      <c r="AK225" s="377"/>
      <c r="AL225" s="377"/>
      <c r="AM225" s="377"/>
      <c r="AN225" s="377"/>
      <c r="AO225" s="372"/>
      <c r="AP225" s="377"/>
      <c r="AQ225" s="377"/>
      <c r="AT225" s="28">
        <f t="shared" si="504"/>
        <v>0</v>
      </c>
    </row>
    <row r="226" spans="2:46" s="28" customFormat="1" ht="20.100000000000001" customHeight="1" x14ac:dyDescent="0.3">
      <c r="B226" s="92"/>
      <c r="C226" s="95" t="s">
        <v>33</v>
      </c>
      <c r="D226" s="98">
        <v>0.33300000000000002</v>
      </c>
      <c r="E226" s="92">
        <f>1*0</f>
        <v>0</v>
      </c>
      <c r="F226" s="92">
        <f>1*0</f>
        <v>0</v>
      </c>
      <c r="G226" s="98">
        <f>(3.538)*3.281</f>
        <v>11.608178000000001</v>
      </c>
      <c r="H226" s="98">
        <f>+D226</f>
        <v>0.33300000000000002</v>
      </c>
      <c r="I226" s="94">
        <v>2</v>
      </c>
      <c r="J226" s="99">
        <v>3</v>
      </c>
      <c r="K226" s="100">
        <f>+IF(D226=0.667,E226*F226*G226*H226*J226,0)</f>
        <v>0</v>
      </c>
      <c r="L226" s="100">
        <f>+IF(D226=0.333,E226*F226*G226*J226,0)</f>
        <v>0</v>
      </c>
      <c r="M226" s="99">
        <v>4</v>
      </c>
      <c r="N226" s="100">
        <f>+IF(D226=0.667,E226*F226*G226*H226*M226,0)</f>
        <v>0</v>
      </c>
      <c r="O226" s="100">
        <f>+IF(D226=0.333,E226*F226*G226*M226,0)</f>
        <v>0</v>
      </c>
      <c r="P226" s="81">
        <f>11.833-I226-M226-J226</f>
        <v>2.8330000000000002</v>
      </c>
      <c r="Q226" s="100">
        <f>+IF(D226=0.667,E226*F226*G226*H226*P226,0)</f>
        <v>0</v>
      </c>
      <c r="R226" s="100">
        <f>+IF(D226=0.333,E226*F226*G226*P226,0)</f>
        <v>0</v>
      </c>
      <c r="S226" s="101">
        <f t="shared" ref="S226:T233" si="590">+Q226+N226+K226</f>
        <v>0</v>
      </c>
      <c r="T226" s="101">
        <f t="shared" si="590"/>
        <v>0</v>
      </c>
      <c r="U226" s="92"/>
      <c r="V226" s="91"/>
      <c r="W226" s="102"/>
      <c r="X226" s="98"/>
      <c r="Y226" s="102"/>
      <c r="Z226" s="98"/>
      <c r="AA226" s="98"/>
      <c r="AB226" s="98"/>
      <c r="AC226" s="91"/>
      <c r="AD226" s="98"/>
      <c r="AE226" s="98"/>
      <c r="AF226" s="98"/>
      <c r="AG226" s="91"/>
      <c r="AH226" s="305">
        <v>1</v>
      </c>
      <c r="AI226" s="299">
        <f>+AH226*G226*D226*0.17</f>
        <v>0.6571389565800001</v>
      </c>
      <c r="AK226" s="301">
        <f t="shared" ref="AK226:AK233" si="591">+IF(D226=0.667,E226*F226*G226,0)</f>
        <v>0</v>
      </c>
      <c r="AL226" s="301">
        <f t="shared" ref="AL226:AL233" si="592">+IF(D226=0.333,E226*F226*G226,0)</f>
        <v>0</v>
      </c>
      <c r="AM226" s="301"/>
      <c r="AN226" s="301">
        <f>+IF(D226=0.333,1.33,0)*0</f>
        <v>0</v>
      </c>
      <c r="AO226" s="299"/>
      <c r="AP226" s="301"/>
      <c r="AQ226" s="301"/>
      <c r="AT226" s="28">
        <f t="shared" si="504"/>
        <v>0</v>
      </c>
    </row>
    <row r="227" spans="2:46" s="28" customFormat="1" ht="20.100000000000001" customHeight="1" x14ac:dyDescent="0.3">
      <c r="B227" s="18"/>
      <c r="C227" s="62" t="s">
        <v>34</v>
      </c>
      <c r="D227" s="98">
        <v>0.33300000000000002</v>
      </c>
      <c r="E227" s="18">
        <f>-1*0</f>
        <v>0</v>
      </c>
      <c r="F227" s="92">
        <f>1*0</f>
        <v>0</v>
      </c>
      <c r="G227" s="20">
        <v>3.25</v>
      </c>
      <c r="H227" s="20">
        <f t="shared" ref="H227" si="593">+D227</f>
        <v>0.33300000000000002</v>
      </c>
      <c r="I227" s="21"/>
      <c r="J227" s="81">
        <v>3</v>
      </c>
      <c r="K227" s="103">
        <f t="shared" ref="K227" si="594">+IF(D227=0.667,E227*F227*G227*H227*J227,0)</f>
        <v>0</v>
      </c>
      <c r="L227" s="103">
        <f t="shared" ref="L227" si="595">+IF(D227=0.333,E227*F227*G227*J227,0)</f>
        <v>0</v>
      </c>
      <c r="M227" s="81">
        <v>4</v>
      </c>
      <c r="N227" s="103">
        <f t="shared" ref="N227" si="596">+IF(D227=0.667,E227*F227*G227*H227*M227,0)</f>
        <v>0</v>
      </c>
      <c r="O227" s="103">
        <f t="shared" ref="O227" si="597">+IF(D227=0.333,E227*F227*G227*M227,0)</f>
        <v>0</v>
      </c>
      <c r="P227" s="81"/>
      <c r="Q227" s="103">
        <f t="shared" ref="Q227" si="598">+IF(D227=0.667,E227*F227*G227*H227*P227,0)</f>
        <v>0</v>
      </c>
      <c r="R227" s="103">
        <f t="shared" ref="R227" si="599">+IF(D227=0.333,E227*F227*G227*P227,0)</f>
        <v>0</v>
      </c>
      <c r="S227" s="104">
        <f t="shared" si="590"/>
        <v>0</v>
      </c>
      <c r="T227" s="104">
        <f t="shared" si="590"/>
        <v>0</v>
      </c>
      <c r="U227" s="18"/>
      <c r="V227" s="26"/>
      <c r="W227" s="21">
        <f>+G227+D227</f>
        <v>3.5830000000000002</v>
      </c>
      <c r="X227" s="21">
        <v>0.5</v>
      </c>
      <c r="Y227" s="21">
        <f>+IF(D227=0.667,-E227*F227*H227*W227*X227,0)</f>
        <v>0</v>
      </c>
      <c r="Z227" s="21">
        <f>+IF(D227=0.333,-E227*F227*H227*W227*X227,0)</f>
        <v>0</v>
      </c>
      <c r="AA227" s="21">
        <f>+F227*G227*H227</f>
        <v>0</v>
      </c>
      <c r="AB227" s="21">
        <f t="shared" ref="AB227" si="600">2*F227*W227*X227</f>
        <v>0</v>
      </c>
      <c r="AC227" s="27"/>
      <c r="AD227" s="21"/>
      <c r="AE227" s="21">
        <f t="shared" ref="AE227" si="601">+IF(D227=0.667,AD227*W227*H227*F227,0)</f>
        <v>0</v>
      </c>
      <c r="AF227" s="21">
        <f t="shared" ref="AF227" si="602">+IF(D227=0.333,AD227*W227*H227*F227,0)</f>
        <v>0</v>
      </c>
      <c r="AG227" s="27"/>
      <c r="AH227" s="396"/>
      <c r="AI227" s="21">
        <f t="shared" ref="AI227" si="603">+AH227*G227*D227*0.17</f>
        <v>0</v>
      </c>
      <c r="AK227" s="301">
        <f t="shared" si="591"/>
        <v>0</v>
      </c>
      <c r="AL227" s="301">
        <f t="shared" si="592"/>
        <v>0</v>
      </c>
      <c r="AM227" s="301"/>
      <c r="AN227" s="301">
        <f>+IF(D227=0.333,1.33,0)*0</f>
        <v>0</v>
      </c>
      <c r="AO227" s="299"/>
      <c r="AP227" s="301"/>
      <c r="AQ227" s="301"/>
      <c r="AT227" s="28">
        <f t="shared" si="504"/>
        <v>0</v>
      </c>
    </row>
    <row r="228" spans="2:46" s="28" customFormat="1" ht="20.100000000000001" customHeight="1" x14ac:dyDescent="0.3">
      <c r="B228" s="92"/>
      <c r="C228" s="95" t="s">
        <v>32</v>
      </c>
      <c r="D228" s="98">
        <v>0.66700000000000004</v>
      </c>
      <c r="E228" s="92">
        <f>1*0</f>
        <v>0</v>
      </c>
      <c r="F228" s="92">
        <f>1*0</f>
        <v>0</v>
      </c>
      <c r="G228" s="98">
        <f>(0.59+1.935)*3.281</f>
        <v>8.2845250000000004</v>
      </c>
      <c r="H228" s="98">
        <f>+D228</f>
        <v>0.66700000000000004</v>
      </c>
      <c r="I228" s="94">
        <v>2</v>
      </c>
      <c r="J228" s="99">
        <v>3</v>
      </c>
      <c r="K228" s="100">
        <f>+IF(D228=0.667,E228*F228*G228*H228*J228,0)</f>
        <v>0</v>
      </c>
      <c r="L228" s="100">
        <f>+IF(D228=0.333,E228*F228*G228*J228,0)</f>
        <v>0</v>
      </c>
      <c r="M228" s="99">
        <v>4</v>
      </c>
      <c r="N228" s="100">
        <f>+IF(D228=0.667,E228*F228*G228*H228*M228,0)</f>
        <v>0</v>
      </c>
      <c r="O228" s="100">
        <f>+IF(D228=0.333,E228*F228*G228*M228,0)</f>
        <v>0</v>
      </c>
      <c r="P228" s="81">
        <f>11.833-I228-M228-J228</f>
        <v>2.8330000000000002</v>
      </c>
      <c r="Q228" s="100">
        <f>+IF(D228=0.667,E228*F228*G228*H228*P228,0)</f>
        <v>0</v>
      </c>
      <c r="R228" s="100">
        <f>+IF(D228=0.333,E228*F228*G228*P228,0)</f>
        <v>0</v>
      </c>
      <c r="S228" s="101">
        <f t="shared" si="590"/>
        <v>0</v>
      </c>
      <c r="T228" s="101">
        <f t="shared" si="590"/>
        <v>0</v>
      </c>
      <c r="U228" s="92"/>
      <c r="V228" s="91"/>
      <c r="W228" s="102"/>
      <c r="X228" s="98"/>
      <c r="Y228" s="102"/>
      <c r="Z228" s="98"/>
      <c r="AA228" s="98"/>
      <c r="AB228" s="98"/>
      <c r="AC228" s="91"/>
      <c r="AD228" s="98"/>
      <c r="AE228" s="98"/>
      <c r="AF228" s="98"/>
      <c r="AG228" s="91"/>
      <c r="AH228" s="305">
        <v>1</v>
      </c>
      <c r="AI228" s="299">
        <f>+AH228*G228*D228*0.17</f>
        <v>0.93938228975000004</v>
      </c>
      <c r="AK228" s="301">
        <f t="shared" si="591"/>
        <v>0</v>
      </c>
      <c r="AL228" s="301">
        <f t="shared" si="592"/>
        <v>0</v>
      </c>
      <c r="AM228" s="301"/>
      <c r="AN228" s="301">
        <f>+IF(D228=0.333,1.33,0)</f>
        <v>0</v>
      </c>
      <c r="AO228" s="299"/>
      <c r="AP228" s="301"/>
      <c r="AQ228" s="301"/>
      <c r="AT228" s="28">
        <f t="shared" si="504"/>
        <v>0</v>
      </c>
    </row>
    <row r="229" spans="2:46" s="28" customFormat="1" ht="20.100000000000001" customHeight="1" x14ac:dyDescent="0.3">
      <c r="B229" s="18"/>
      <c r="C229" s="62" t="s">
        <v>48</v>
      </c>
      <c r="D229" s="298">
        <v>0.66700000000000004</v>
      </c>
      <c r="E229" s="18">
        <f>-1*0</f>
        <v>0</v>
      </c>
      <c r="F229" s="18">
        <f>1*0</f>
        <v>0</v>
      </c>
      <c r="G229" s="20">
        <v>5</v>
      </c>
      <c r="H229" s="20">
        <f t="shared" ref="H229" si="604">+D229</f>
        <v>0.66700000000000004</v>
      </c>
      <c r="I229" s="21"/>
      <c r="J229" s="81"/>
      <c r="K229" s="103">
        <f t="shared" ref="K229" si="605">+IF(D229=0.667,E229*F229*G229*H229*J229,0)</f>
        <v>0</v>
      </c>
      <c r="L229" s="103">
        <f t="shared" ref="L229" si="606">+IF(D229=0.333,E229*F229*G229*J229,0)</f>
        <v>0</v>
      </c>
      <c r="M229" s="81">
        <v>2.25</v>
      </c>
      <c r="N229" s="103">
        <f t="shared" ref="N229" si="607">+IF(D229=0.667,E229*F229*G229*H229*M229,0)</f>
        <v>0</v>
      </c>
      <c r="O229" s="103">
        <f t="shared" ref="O229" si="608">+IF(D229=0.333,E229*F229*G229*M229,0)</f>
        <v>0</v>
      </c>
      <c r="P229" s="81"/>
      <c r="Q229" s="103">
        <f t="shared" ref="Q229" si="609">+IF(D229=0.667,E229*F229*G229*H229*P229,0)</f>
        <v>0</v>
      </c>
      <c r="R229" s="103">
        <f t="shared" ref="R229" si="610">+IF(D229=0.333,E229*F229*G229*P229,0)</f>
        <v>0</v>
      </c>
      <c r="S229" s="104">
        <f t="shared" si="590"/>
        <v>0</v>
      </c>
      <c r="T229" s="104">
        <f t="shared" si="590"/>
        <v>0</v>
      </c>
      <c r="U229" s="18"/>
      <c r="V229" s="26"/>
      <c r="W229" s="21">
        <f>+G229+D229</f>
        <v>5.6669999999999998</v>
      </c>
      <c r="X229" s="21">
        <v>0.5</v>
      </c>
      <c r="Y229" s="21">
        <f>+IF(D229=0.667,-E229*F229*H229*W229*X229,0)</f>
        <v>0</v>
      </c>
      <c r="Z229" s="21">
        <f>+IF(D229=0.333,-E229*F229*H229*W229*X229,0)</f>
        <v>0</v>
      </c>
      <c r="AA229" s="21">
        <f>+F229*G229*H229</f>
        <v>0</v>
      </c>
      <c r="AB229" s="21">
        <f t="shared" ref="AB229" si="611">2*F229*W229*X229</f>
        <v>0</v>
      </c>
      <c r="AC229" s="27"/>
      <c r="AD229" s="21">
        <v>0.16700000000000001</v>
      </c>
      <c r="AE229" s="21">
        <f t="shared" ref="AE229" si="612">+IF(D229=0.667,AD229*W229*H229*F229,0)</f>
        <v>0</v>
      </c>
      <c r="AF229" s="21">
        <f t="shared" ref="AF229" si="613">+IF(D229=0.333,AD229*W229*H229*F229,0)</f>
        <v>0</v>
      </c>
      <c r="AG229" s="27"/>
      <c r="AH229" s="396"/>
      <c r="AI229" s="21">
        <f t="shared" ref="AI229" si="614">+AH229*G229*D229*0.17</f>
        <v>0</v>
      </c>
      <c r="AK229" s="301"/>
      <c r="AL229" s="301"/>
      <c r="AM229" s="301"/>
      <c r="AN229" s="301"/>
      <c r="AO229" s="299"/>
      <c r="AP229" s="301"/>
      <c r="AQ229" s="301"/>
      <c r="AT229" s="28">
        <f t="shared" si="504"/>
        <v>0</v>
      </c>
    </row>
    <row r="230" spans="2:46" s="28" customFormat="1" ht="30" customHeight="1" x14ac:dyDescent="0.3">
      <c r="B230" s="92"/>
      <c r="C230" s="62" t="s">
        <v>342</v>
      </c>
      <c r="D230" s="98">
        <v>0.33300000000000002</v>
      </c>
      <c r="E230" s="92">
        <f>1*0</f>
        <v>0</v>
      </c>
      <c r="F230" s="92">
        <f>1*0</f>
        <v>0</v>
      </c>
      <c r="G230" s="98">
        <f>(4.775+2.135+2.135+3.275)*3.281</f>
        <v>40.42192</v>
      </c>
      <c r="H230" s="98">
        <f>+D230</f>
        <v>0.33300000000000002</v>
      </c>
      <c r="I230" s="94">
        <v>2</v>
      </c>
      <c r="J230" s="99">
        <v>3</v>
      </c>
      <c r="K230" s="100">
        <f>+IF(D230=0.667,E230*F230*G230*H230*J230,0)</f>
        <v>0</v>
      </c>
      <c r="L230" s="100">
        <f>+IF(D230=0.333,E230*F230*G230*J230,0)</f>
        <v>0</v>
      </c>
      <c r="M230" s="99">
        <v>4</v>
      </c>
      <c r="N230" s="100">
        <f>+IF(D230=0.667,E230*F230*G230*H230*M230,0)</f>
        <v>0</v>
      </c>
      <c r="O230" s="100">
        <f>+IF(D230=0.333,E230*F230*G230*M230,0)</f>
        <v>0</v>
      </c>
      <c r="P230" s="81">
        <f>11.833-I230-M230-J230</f>
        <v>2.8330000000000002</v>
      </c>
      <c r="Q230" s="100">
        <f>+IF(D230=0.667,E230*F230*G230*H230*P230,0)</f>
        <v>0</v>
      </c>
      <c r="R230" s="100">
        <f>+IF(D230=0.333,E230*F230*G230*P230,0)</f>
        <v>0</v>
      </c>
      <c r="S230" s="101">
        <f t="shared" si="590"/>
        <v>0</v>
      </c>
      <c r="T230" s="101">
        <f t="shared" si="590"/>
        <v>0</v>
      </c>
      <c r="U230" s="92"/>
      <c r="V230" s="91"/>
      <c r="W230" s="102"/>
      <c r="X230" s="98"/>
      <c r="Y230" s="102"/>
      <c r="Z230" s="98"/>
      <c r="AA230" s="98"/>
      <c r="AB230" s="98"/>
      <c r="AC230" s="91"/>
      <c r="AD230" s="98"/>
      <c r="AE230" s="98"/>
      <c r="AF230" s="98"/>
      <c r="AG230" s="91"/>
      <c r="AH230" s="304">
        <v>1</v>
      </c>
      <c r="AI230" s="299">
        <f>+AH230*G230*D230*0.17</f>
        <v>2.2882848912</v>
      </c>
      <c r="AK230" s="301">
        <f t="shared" si="591"/>
        <v>0</v>
      </c>
      <c r="AL230" s="301">
        <f t="shared" si="592"/>
        <v>0</v>
      </c>
      <c r="AM230" s="301"/>
      <c r="AN230" s="301"/>
      <c r="AO230" s="299"/>
      <c r="AP230" s="301"/>
      <c r="AQ230" s="301"/>
      <c r="AT230" s="28">
        <f t="shared" si="504"/>
        <v>0</v>
      </c>
    </row>
    <row r="231" spans="2:46" s="28" customFormat="1" ht="20.100000000000001" customHeight="1" x14ac:dyDescent="0.3">
      <c r="B231" s="18"/>
      <c r="C231" s="62" t="s">
        <v>337</v>
      </c>
      <c r="D231" s="98">
        <v>0.33300000000000002</v>
      </c>
      <c r="E231" s="18">
        <f>-1*0</f>
        <v>0</v>
      </c>
      <c r="F231" s="18">
        <f>3*0</f>
        <v>0</v>
      </c>
      <c r="G231" s="20">
        <v>2.5</v>
      </c>
      <c r="H231" s="20">
        <f t="shared" ref="H231:H232" si="615">+D231</f>
        <v>0.33300000000000002</v>
      </c>
      <c r="I231" s="21"/>
      <c r="J231" s="81">
        <v>3</v>
      </c>
      <c r="K231" s="103">
        <f t="shared" ref="K231:K232" si="616">+IF(D231=0.667,E231*F231*G231*H231*J231,0)</f>
        <v>0</v>
      </c>
      <c r="L231" s="103">
        <f t="shared" ref="L231:L232" si="617">+IF(D231=0.333,E231*F231*G231*J231,0)</f>
        <v>0</v>
      </c>
      <c r="M231" s="81">
        <v>3</v>
      </c>
      <c r="N231" s="103">
        <f t="shared" ref="N231:N232" si="618">+IF(D231=0.667,E231*F231*G231*H231*M231,0)</f>
        <v>0</v>
      </c>
      <c r="O231" s="103">
        <f t="shared" ref="O231:O232" si="619">+IF(D231=0.333,E231*F231*G231*M231,0)</f>
        <v>0</v>
      </c>
      <c r="P231" s="81"/>
      <c r="Q231" s="103">
        <f t="shared" ref="Q231:Q232" si="620">+IF(D231=0.667,E231*F231*G231*H231*P231,0)</f>
        <v>0</v>
      </c>
      <c r="R231" s="103">
        <f t="shared" ref="R231:R232" si="621">+IF(D231=0.333,E231*F231*G231*P231,0)</f>
        <v>0</v>
      </c>
      <c r="S231" s="104">
        <f t="shared" si="590"/>
        <v>0</v>
      </c>
      <c r="T231" s="104">
        <f t="shared" si="590"/>
        <v>0</v>
      </c>
      <c r="U231" s="18"/>
      <c r="V231" s="26"/>
      <c r="W231" s="21">
        <f>+G231+D231</f>
        <v>2.8330000000000002</v>
      </c>
      <c r="X231" s="21">
        <v>0.5</v>
      </c>
      <c r="Y231" s="21">
        <f>+IF(D231=0.667,-E231*F231*H231*W231*X231,0)</f>
        <v>0</v>
      </c>
      <c r="Z231" s="21">
        <f>+IF(D231=0.333,-E231*F231*H231*W231*X231,0)</f>
        <v>0</v>
      </c>
      <c r="AA231" s="21">
        <f>+F231*G231*H231</f>
        <v>0</v>
      </c>
      <c r="AB231" s="21">
        <f t="shared" ref="AB231:AB232" si="622">2*F231*W231*X231</f>
        <v>0</v>
      </c>
      <c r="AC231" s="27"/>
      <c r="AD231" s="21"/>
      <c r="AE231" s="21">
        <f t="shared" ref="AE231:AE232" si="623">+IF(D231=0.667,AD231*W231*H231*F231,0)</f>
        <v>0</v>
      </c>
      <c r="AF231" s="21">
        <f t="shared" ref="AF231:AF232" si="624">+IF(D231=0.333,AD231*W231*H231*F231,0)</f>
        <v>0</v>
      </c>
      <c r="AG231" s="27"/>
      <c r="AH231" s="396"/>
      <c r="AI231" s="21">
        <f t="shared" ref="AI231:AI232" si="625">+AH231*G231*D231*0.17</f>
        <v>0</v>
      </c>
      <c r="AK231" s="301">
        <f t="shared" si="591"/>
        <v>0</v>
      </c>
      <c r="AL231" s="301">
        <f t="shared" si="592"/>
        <v>0</v>
      </c>
      <c r="AM231" s="301"/>
      <c r="AN231" s="301">
        <f>+IF(D231=0.333,1.33,0)*0</f>
        <v>0</v>
      </c>
      <c r="AO231" s="299"/>
      <c r="AP231" s="301"/>
      <c r="AQ231" s="301"/>
      <c r="AT231" s="28">
        <f t="shared" si="504"/>
        <v>0</v>
      </c>
    </row>
    <row r="232" spans="2:46" s="28" customFormat="1" ht="20.100000000000001" customHeight="1" x14ac:dyDescent="0.3">
      <c r="B232" s="18"/>
      <c r="C232" s="62" t="s">
        <v>341</v>
      </c>
      <c r="D232" s="98">
        <v>0.33300000000000002</v>
      </c>
      <c r="E232" s="18">
        <f>-1*0</f>
        <v>0</v>
      </c>
      <c r="F232" s="18">
        <f>1*0</f>
        <v>0</v>
      </c>
      <c r="G232" s="20">
        <v>3.25</v>
      </c>
      <c r="H232" s="20">
        <f t="shared" si="615"/>
        <v>0.33300000000000002</v>
      </c>
      <c r="I232" s="21"/>
      <c r="J232" s="81">
        <v>3</v>
      </c>
      <c r="K232" s="103">
        <f t="shared" si="616"/>
        <v>0</v>
      </c>
      <c r="L232" s="103">
        <f t="shared" si="617"/>
        <v>0</v>
      </c>
      <c r="M232" s="81">
        <v>3</v>
      </c>
      <c r="N232" s="103">
        <f t="shared" si="618"/>
        <v>0</v>
      </c>
      <c r="O232" s="103">
        <f t="shared" si="619"/>
        <v>0</v>
      </c>
      <c r="P232" s="81"/>
      <c r="Q232" s="103">
        <f t="shared" si="620"/>
        <v>0</v>
      </c>
      <c r="R232" s="103">
        <f t="shared" si="621"/>
        <v>0</v>
      </c>
      <c r="S232" s="104">
        <f t="shared" si="590"/>
        <v>0</v>
      </c>
      <c r="T232" s="104">
        <f t="shared" si="590"/>
        <v>0</v>
      </c>
      <c r="U232" s="18"/>
      <c r="V232" s="26"/>
      <c r="W232" s="21">
        <f>+G232+D232</f>
        <v>3.5830000000000002</v>
      </c>
      <c r="X232" s="21">
        <v>0.5</v>
      </c>
      <c r="Y232" s="21">
        <f>+IF(D232=0.667,-E232*F232*H232*W232*X232,0)</f>
        <v>0</v>
      </c>
      <c r="Z232" s="21">
        <f>+IF(D232=0.333,-E232*F232*H232*W232*X232,0)</f>
        <v>0</v>
      </c>
      <c r="AA232" s="21">
        <f>+F232*G232*H232</f>
        <v>0</v>
      </c>
      <c r="AB232" s="21">
        <f t="shared" si="622"/>
        <v>0</v>
      </c>
      <c r="AC232" s="27"/>
      <c r="AD232" s="21"/>
      <c r="AE232" s="21">
        <f t="shared" si="623"/>
        <v>0</v>
      </c>
      <c r="AF232" s="21">
        <f t="shared" si="624"/>
        <v>0</v>
      </c>
      <c r="AG232" s="27"/>
      <c r="AH232" s="396"/>
      <c r="AI232" s="21">
        <f t="shared" si="625"/>
        <v>0</v>
      </c>
      <c r="AK232" s="301">
        <f t="shared" si="591"/>
        <v>0</v>
      </c>
      <c r="AL232" s="301">
        <f t="shared" si="592"/>
        <v>0</v>
      </c>
      <c r="AM232" s="301"/>
      <c r="AN232" s="301">
        <f>+IF(D232=0.333,1.33,0)*0</f>
        <v>0</v>
      </c>
      <c r="AO232" s="299"/>
      <c r="AP232" s="301"/>
      <c r="AQ232" s="301"/>
      <c r="AT232" s="28">
        <f t="shared" si="504"/>
        <v>0</v>
      </c>
    </row>
    <row r="233" spans="2:46" s="28" customFormat="1" ht="20.100000000000001" customHeight="1" x14ac:dyDescent="0.3">
      <c r="B233" s="92"/>
      <c r="C233" s="95" t="s">
        <v>331</v>
      </c>
      <c r="D233" s="98">
        <v>0.66700000000000004</v>
      </c>
      <c r="E233" s="92">
        <f>1*0</f>
        <v>0</v>
      </c>
      <c r="F233" s="92">
        <f>1*0</f>
        <v>0</v>
      </c>
      <c r="G233" s="98">
        <f>(1.178+0.914+0.716)*3.281</f>
        <v>9.2130480000000006</v>
      </c>
      <c r="H233" s="98">
        <f>+D233</f>
        <v>0.66700000000000004</v>
      </c>
      <c r="I233" s="94">
        <v>2</v>
      </c>
      <c r="J233" s="99">
        <v>3</v>
      </c>
      <c r="K233" s="100">
        <f>+IF(D233=0.667,E233*F233*G233*H233*J233,0)</f>
        <v>0</v>
      </c>
      <c r="L233" s="100">
        <f>+IF(D233=0.333,E233*F233*G233*J233,0)</f>
        <v>0</v>
      </c>
      <c r="M233" s="99">
        <v>4</v>
      </c>
      <c r="N233" s="100">
        <f>+IF(D233=0.667,E233*F233*G233*H233*M233,0)</f>
        <v>0</v>
      </c>
      <c r="O233" s="100">
        <f>+IF(D233=0.333,E233*F233*G233*M233,0)</f>
        <v>0</v>
      </c>
      <c r="P233" s="81">
        <f>11.833-I233-M233-J233</f>
        <v>2.8330000000000002</v>
      </c>
      <c r="Q233" s="100">
        <f>+IF(D233=0.667,E233*F233*G233*H233*P233,0)</f>
        <v>0</v>
      </c>
      <c r="R233" s="100">
        <f>+IF(D233=0.333,E233*F233*G233*P233,0)</f>
        <v>0</v>
      </c>
      <c r="S233" s="101">
        <f t="shared" si="590"/>
        <v>0</v>
      </c>
      <c r="T233" s="101">
        <f t="shared" si="590"/>
        <v>0</v>
      </c>
      <c r="U233" s="92"/>
      <c r="V233" s="91"/>
      <c r="W233" s="102"/>
      <c r="X233" s="98"/>
      <c r="Y233" s="102"/>
      <c r="Z233" s="98"/>
      <c r="AA233" s="98"/>
      <c r="AB233" s="98"/>
      <c r="AC233" s="91"/>
      <c r="AD233" s="98"/>
      <c r="AE233" s="98"/>
      <c r="AF233" s="98"/>
      <c r="AG233" s="91"/>
      <c r="AH233" s="305">
        <v>1</v>
      </c>
      <c r="AI233" s="299">
        <f>+AH233*G233*D233*0.17</f>
        <v>1.0446675127200002</v>
      </c>
      <c r="AK233" s="301">
        <f t="shared" si="591"/>
        <v>0</v>
      </c>
      <c r="AL233" s="301">
        <f t="shared" si="592"/>
        <v>0</v>
      </c>
      <c r="AM233" s="301"/>
      <c r="AN233" s="301">
        <f>+IF(D233=0.333,1.33,0)</f>
        <v>0</v>
      </c>
      <c r="AO233" s="299"/>
      <c r="AP233" s="301"/>
      <c r="AQ233" s="301"/>
      <c r="AT233" s="28">
        <f t="shared" si="504"/>
        <v>0</v>
      </c>
    </row>
    <row r="234" spans="2:46" s="28" customFormat="1" ht="20.100000000000001" customHeight="1" x14ac:dyDescent="0.3">
      <c r="B234" s="369"/>
      <c r="C234" s="395"/>
      <c r="D234" s="371"/>
      <c r="E234" s="369"/>
      <c r="F234" s="369"/>
      <c r="G234" s="371"/>
      <c r="H234" s="371"/>
      <c r="I234" s="372"/>
      <c r="J234" s="371"/>
      <c r="K234" s="371"/>
      <c r="L234" s="371"/>
      <c r="M234" s="371"/>
      <c r="N234" s="371"/>
      <c r="O234" s="371"/>
      <c r="P234" s="371"/>
      <c r="Q234" s="371"/>
      <c r="R234" s="371"/>
      <c r="S234" s="371"/>
      <c r="T234" s="371"/>
      <c r="U234" s="369"/>
      <c r="V234" s="370"/>
      <c r="W234" s="372"/>
      <c r="X234" s="371"/>
      <c r="Y234" s="372"/>
      <c r="Z234" s="371"/>
      <c r="AA234" s="371"/>
      <c r="AB234" s="371"/>
      <c r="AC234" s="370"/>
      <c r="AD234" s="371"/>
      <c r="AE234" s="371"/>
      <c r="AF234" s="371"/>
      <c r="AG234" s="370"/>
      <c r="AH234" s="376"/>
      <c r="AI234" s="372"/>
      <c r="AK234" s="377"/>
      <c r="AL234" s="377"/>
      <c r="AM234" s="377"/>
      <c r="AN234" s="377"/>
      <c r="AO234" s="372"/>
      <c r="AP234" s="377"/>
      <c r="AQ234" s="377"/>
      <c r="AT234" s="28">
        <f t="shared" si="504"/>
        <v>0</v>
      </c>
    </row>
    <row r="235" spans="2:46" s="28" customFormat="1" ht="20.100000000000001" customHeight="1" x14ac:dyDescent="0.3">
      <c r="B235" s="369"/>
      <c r="C235" s="97" t="s">
        <v>367</v>
      </c>
      <c r="D235" s="371"/>
      <c r="E235" s="369"/>
      <c r="F235" s="369"/>
      <c r="G235" s="371"/>
      <c r="H235" s="371"/>
      <c r="I235" s="372"/>
      <c r="J235" s="371"/>
      <c r="K235" s="371"/>
      <c r="L235" s="371"/>
      <c r="M235" s="371"/>
      <c r="N235" s="371"/>
      <c r="O235" s="371"/>
      <c r="P235" s="371"/>
      <c r="Q235" s="371"/>
      <c r="R235" s="371"/>
      <c r="S235" s="371"/>
      <c r="T235" s="371"/>
      <c r="U235" s="369"/>
      <c r="V235" s="370"/>
      <c r="W235" s="372"/>
      <c r="X235" s="371"/>
      <c r="Y235" s="372"/>
      <c r="Z235" s="371"/>
      <c r="AA235" s="371"/>
      <c r="AB235" s="371"/>
      <c r="AC235" s="370"/>
      <c r="AD235" s="371"/>
      <c r="AE235" s="371"/>
      <c r="AF235" s="371"/>
      <c r="AG235" s="370"/>
      <c r="AH235" s="376"/>
      <c r="AI235" s="372"/>
      <c r="AK235" s="377"/>
      <c r="AL235" s="377"/>
      <c r="AM235" s="377"/>
      <c r="AN235" s="377"/>
      <c r="AO235" s="372"/>
      <c r="AP235" s="377"/>
      <c r="AQ235" s="377"/>
      <c r="AT235" s="28">
        <f t="shared" si="504"/>
        <v>0</v>
      </c>
    </row>
    <row r="236" spans="2:46" s="28" customFormat="1" ht="20.100000000000001" customHeight="1" x14ac:dyDescent="0.3">
      <c r="B236" s="92"/>
      <c r="C236" s="95" t="s">
        <v>31</v>
      </c>
      <c r="D236" s="98">
        <v>0.66700000000000004</v>
      </c>
      <c r="E236" s="92">
        <v>1</v>
      </c>
      <c r="F236" s="92">
        <v>1</v>
      </c>
      <c r="G236" s="555">
        <f>(3.363+2.237)*3.281</f>
        <v>18.3736</v>
      </c>
      <c r="H236" s="98">
        <f>+D236</f>
        <v>0.66700000000000004</v>
      </c>
      <c r="I236" s="94">
        <v>2</v>
      </c>
      <c r="J236" s="99">
        <v>3</v>
      </c>
      <c r="K236" s="100">
        <f>+IF(D236=0.667,E236*F236*G236*H236*J236,0)</f>
        <v>36.765573600000003</v>
      </c>
      <c r="L236" s="100">
        <f>+IF(D236=0.333,E236*F236*G236*J236,0)</f>
        <v>0</v>
      </c>
      <c r="M236" s="99">
        <v>4</v>
      </c>
      <c r="N236" s="100">
        <f>+IF(D236=0.667,E236*F236*G236*H236*M236,0)</f>
        <v>49.020764800000002</v>
      </c>
      <c r="O236" s="100">
        <f>+IF(D236=0.333,E236*F236*G236*M236,0)</f>
        <v>0</v>
      </c>
      <c r="P236" s="81">
        <f t="shared" ref="P236:P237" si="626">11.833-I236-M236-J236</f>
        <v>2.8330000000000002</v>
      </c>
      <c r="Q236" s="100">
        <f>+IF(D236=0.667,E236*F236*G236*H236*P236,0)</f>
        <v>34.718956669600004</v>
      </c>
      <c r="R236" s="100">
        <f>+IF(D236=0.333,E236*F236*G236*P236,0)</f>
        <v>0</v>
      </c>
      <c r="S236" s="101">
        <f t="shared" ref="S236:T239" si="627">+Q236+N236+K236</f>
        <v>120.50529506960001</v>
      </c>
      <c r="T236" s="101">
        <f t="shared" si="627"/>
        <v>0</v>
      </c>
      <c r="U236" s="92"/>
      <c r="V236" s="91"/>
      <c r="W236" s="102"/>
      <c r="X236" s="98"/>
      <c r="Y236" s="102"/>
      <c r="Z236" s="98"/>
      <c r="AA236" s="98"/>
      <c r="AB236" s="98"/>
      <c r="AC236" s="91"/>
      <c r="AD236" s="98"/>
      <c r="AE236" s="98"/>
      <c r="AF236" s="98"/>
      <c r="AG236" s="91"/>
      <c r="AH236" s="305">
        <v>1</v>
      </c>
      <c r="AI236" s="299">
        <f>+AH236*G236*D236*0.17</f>
        <v>2.0833825040000002</v>
      </c>
      <c r="AK236" s="301">
        <f t="shared" ref="AK236:AK237" si="628">+IF(D236=0.667,E236*F236*G236,0)</f>
        <v>18.3736</v>
      </c>
      <c r="AL236" s="301">
        <f t="shared" ref="AL236:AL239" si="629">+IF(D236=0.333,E236*F236*G236,0)</f>
        <v>0</v>
      </c>
      <c r="AM236" s="301"/>
      <c r="AN236" s="301">
        <f>+IF(D236=0.333,1.33,0)</f>
        <v>0</v>
      </c>
      <c r="AO236" s="299"/>
      <c r="AP236" s="301"/>
      <c r="AQ236" s="301"/>
      <c r="AT236" s="28">
        <f t="shared" si="504"/>
        <v>18.3736</v>
      </c>
    </row>
    <row r="237" spans="2:46" s="28" customFormat="1" ht="20.100000000000001" customHeight="1" x14ac:dyDescent="0.3">
      <c r="B237" s="92"/>
      <c r="C237" s="95" t="s">
        <v>32</v>
      </c>
      <c r="D237" s="98">
        <v>0.66700000000000004</v>
      </c>
      <c r="E237" s="92">
        <v>1</v>
      </c>
      <c r="F237" s="92">
        <v>1</v>
      </c>
      <c r="G237" s="555">
        <f>(3.555*0+2.237*0+4.145)*3.281</f>
        <v>13.599744999999999</v>
      </c>
      <c r="H237" s="98">
        <f>+D237</f>
        <v>0.66700000000000004</v>
      </c>
      <c r="I237" s="94">
        <v>2</v>
      </c>
      <c r="J237" s="99">
        <v>3</v>
      </c>
      <c r="K237" s="100">
        <f>+IF(D237=0.667,E237*F237*G237*H237*J237,0)</f>
        <v>27.213089745000001</v>
      </c>
      <c r="L237" s="100">
        <f>+IF(D237=0.333,E237*F237*G237*J237,0)</f>
        <v>0</v>
      </c>
      <c r="M237" s="99">
        <v>4</v>
      </c>
      <c r="N237" s="100">
        <f>+IF(D237=0.667,E237*F237*G237*H237*M237,0)</f>
        <v>36.284119660000002</v>
      </c>
      <c r="O237" s="100">
        <f>+IF(D237=0.333,E237*F237*G237*M237,0)</f>
        <v>0</v>
      </c>
      <c r="P237" s="81">
        <f t="shared" si="626"/>
        <v>2.8330000000000002</v>
      </c>
      <c r="Q237" s="100">
        <f>+IF(D237=0.667,E237*F237*G237*H237*P237,0)</f>
        <v>25.698227749195002</v>
      </c>
      <c r="R237" s="100">
        <f>+IF(D237=0.333,E237*F237*G237*P237,0)</f>
        <v>0</v>
      </c>
      <c r="S237" s="101">
        <f t="shared" si="627"/>
        <v>89.195437154195005</v>
      </c>
      <c r="T237" s="101">
        <f t="shared" si="627"/>
        <v>0</v>
      </c>
      <c r="U237" s="92"/>
      <c r="V237" s="91"/>
      <c r="W237" s="102"/>
      <c r="X237" s="98"/>
      <c r="Y237" s="102"/>
      <c r="Z237" s="98"/>
      <c r="AA237" s="98"/>
      <c r="AB237" s="98"/>
      <c r="AC237" s="91"/>
      <c r="AD237" s="98"/>
      <c r="AE237" s="98"/>
      <c r="AF237" s="98"/>
      <c r="AG237" s="91"/>
      <c r="AH237" s="305">
        <v>1</v>
      </c>
      <c r="AI237" s="299">
        <f>+AH237*G237*D237*0.17</f>
        <v>1.5420750855500003</v>
      </c>
      <c r="AK237" s="301">
        <f t="shared" si="628"/>
        <v>13.599744999999999</v>
      </c>
      <c r="AL237" s="301">
        <f t="shared" si="629"/>
        <v>0</v>
      </c>
      <c r="AM237" s="301"/>
      <c r="AN237" s="301">
        <f>+IF(D237=0.333,1.33,0)</f>
        <v>0</v>
      </c>
      <c r="AO237" s="299"/>
      <c r="AP237" s="301"/>
      <c r="AQ237" s="301"/>
      <c r="AT237" s="28">
        <f t="shared" si="504"/>
        <v>13.599744999999999</v>
      </c>
    </row>
    <row r="238" spans="2:46" s="28" customFormat="1" ht="20.100000000000001" customHeight="1" x14ac:dyDescent="0.3">
      <c r="B238" s="92"/>
      <c r="C238" s="95" t="s">
        <v>558</v>
      </c>
      <c r="D238" s="98">
        <v>0.66700000000000004</v>
      </c>
      <c r="E238" s="92">
        <v>-1</v>
      </c>
      <c r="F238" s="92">
        <v>1</v>
      </c>
      <c r="G238" s="555">
        <v>6</v>
      </c>
      <c r="H238" s="98">
        <f t="shared" ref="H238" si="630">+D238</f>
        <v>0.66700000000000004</v>
      </c>
      <c r="I238" s="94"/>
      <c r="J238" s="99"/>
      <c r="K238" s="100">
        <f t="shared" ref="K238" si="631">+IF(D238=0.667,E238*F238*G238*H238*J238,0)</f>
        <v>0</v>
      </c>
      <c r="L238" s="100">
        <f t="shared" ref="L238" si="632">+IF(D238=0.333,E238*F238*G238*J238,0)</f>
        <v>0</v>
      </c>
      <c r="M238" s="99">
        <v>4</v>
      </c>
      <c r="N238" s="100">
        <f t="shared" ref="N238" si="633">+IF(D238=0.667,E238*F238*G238*H238*M238,0)</f>
        <v>-16.008000000000003</v>
      </c>
      <c r="O238" s="100">
        <f t="shared" ref="O238" si="634">+IF(D238=0.333,E238*F238*G238*M238,0)</f>
        <v>0</v>
      </c>
      <c r="P238" s="81">
        <v>0</v>
      </c>
      <c r="Q238" s="100">
        <f t="shared" ref="Q238" si="635">+IF(D238=0.667,E238*F238*G238*H238*P238,0)</f>
        <v>0</v>
      </c>
      <c r="R238" s="100">
        <f t="shared" ref="R238" si="636">+IF(D238=0.333,E238*F238*G238*P238,0)</f>
        <v>0</v>
      </c>
      <c r="S238" s="101">
        <f t="shared" si="627"/>
        <v>-16.008000000000003</v>
      </c>
      <c r="T238" s="101">
        <f t="shared" si="627"/>
        <v>0</v>
      </c>
      <c r="U238" s="92"/>
      <c r="V238" s="91"/>
      <c r="W238" s="102">
        <f>+G238+D238</f>
        <v>6.6669999999999998</v>
      </c>
      <c r="X238" s="98">
        <v>0.5</v>
      </c>
      <c r="Y238" s="102">
        <f>+IF(D238=0.667,-E238*F238*H238*W238*X238,0)</f>
        <v>2.2234445000000003</v>
      </c>
      <c r="Z238" s="98">
        <f>+IF(D238=0.333,-E238*F238*H238*W238*X238,0)</f>
        <v>0</v>
      </c>
      <c r="AA238" s="98">
        <f>+F238*G238*H238</f>
        <v>4.0020000000000007</v>
      </c>
      <c r="AB238" s="98">
        <f t="shared" ref="AB238" si="637">2*F238*W238*X238</f>
        <v>6.6669999999999998</v>
      </c>
      <c r="AC238" s="91"/>
      <c r="AD238" s="98">
        <v>0.16700000000000001</v>
      </c>
      <c r="AE238" s="98">
        <f t="shared" ref="AE238" si="638">+IF(D238=0.667,AD238*W238*H238*F238,0)</f>
        <v>0.74263046300000002</v>
      </c>
      <c r="AF238" s="98">
        <f t="shared" ref="AF238" si="639">+IF(D238=0.333,AD238*W238*H238*F238,0)</f>
        <v>0</v>
      </c>
      <c r="AG238" s="91"/>
      <c r="AH238" s="305"/>
      <c r="AI238" s="299">
        <f t="shared" ref="AI238" si="640">+AH238*G238*D238*0.17</f>
        <v>0</v>
      </c>
      <c r="AK238" s="301"/>
      <c r="AL238" s="301">
        <f t="shared" si="629"/>
        <v>0</v>
      </c>
      <c r="AM238" s="301"/>
      <c r="AN238" s="301"/>
      <c r="AO238" s="299"/>
      <c r="AP238" s="301"/>
      <c r="AQ238" s="301"/>
      <c r="AT238" s="28">
        <f t="shared" si="504"/>
        <v>-6</v>
      </c>
    </row>
    <row r="239" spans="2:46" s="28" customFormat="1" ht="20.100000000000001" customHeight="1" x14ac:dyDescent="0.3">
      <c r="B239" s="92"/>
      <c r="C239" s="95" t="s">
        <v>38</v>
      </c>
      <c r="D239" s="98">
        <v>0.66700000000000004</v>
      </c>
      <c r="E239" s="92">
        <v>1</v>
      </c>
      <c r="F239" s="92">
        <v>1</v>
      </c>
      <c r="G239" s="555">
        <f>(1.5+1.644)*3.281</f>
        <v>10.315464</v>
      </c>
      <c r="H239" s="98">
        <f>+D239</f>
        <v>0.66700000000000004</v>
      </c>
      <c r="I239" s="94">
        <v>2</v>
      </c>
      <c r="J239" s="99">
        <v>3</v>
      </c>
      <c r="K239" s="100">
        <f>+IF(D239=0.667,E239*F239*G239*H239*J239,0)</f>
        <v>20.641243464000002</v>
      </c>
      <c r="L239" s="100">
        <f>+IF(D239=0.333,E239*F239*G239*J239,0)</f>
        <v>0</v>
      </c>
      <c r="M239" s="99">
        <v>4</v>
      </c>
      <c r="N239" s="100">
        <f>+IF(D239=0.667,E239*F239*G239*H239*M239,0)</f>
        <v>27.521657952000002</v>
      </c>
      <c r="O239" s="100">
        <f>+IF(D239=0.333,E239*F239*G239*M239,0)</f>
        <v>0</v>
      </c>
      <c r="P239" s="81">
        <f>11.833-I239-M239-J239</f>
        <v>2.8330000000000002</v>
      </c>
      <c r="Q239" s="100">
        <f>+IF(D239=0.667,E239*F239*G239*H239*P239,0)</f>
        <v>19.492214244504002</v>
      </c>
      <c r="R239" s="100">
        <f>+IF(D239=0.333,E239*F239*G239*P239,0)</f>
        <v>0</v>
      </c>
      <c r="S239" s="101">
        <f t="shared" si="627"/>
        <v>67.655115660504009</v>
      </c>
      <c r="T239" s="101">
        <f t="shared" si="627"/>
        <v>0</v>
      </c>
      <c r="U239" s="92"/>
      <c r="V239" s="91"/>
      <c r="W239" s="102"/>
      <c r="X239" s="98"/>
      <c r="Y239" s="102"/>
      <c r="Z239" s="98"/>
      <c r="AA239" s="98"/>
      <c r="AB239" s="98"/>
      <c r="AC239" s="91"/>
      <c r="AD239" s="98"/>
      <c r="AE239" s="98"/>
      <c r="AF239" s="98"/>
      <c r="AG239" s="91"/>
      <c r="AH239" s="305">
        <v>1</v>
      </c>
      <c r="AI239" s="299">
        <f>+AH239*G239*D239*0.17</f>
        <v>1.1696704629600001</v>
      </c>
      <c r="AK239" s="301">
        <f t="shared" ref="AK239" si="641">+IF(D239=0.667,E239*F239*G239,0)</f>
        <v>10.315464</v>
      </c>
      <c r="AL239" s="301">
        <f t="shared" si="629"/>
        <v>0</v>
      </c>
      <c r="AM239" s="301"/>
      <c r="AN239" s="301">
        <f>+IF(D239=0.333,1.33,0)</f>
        <v>0</v>
      </c>
      <c r="AO239" s="299"/>
      <c r="AP239" s="301"/>
      <c r="AQ239" s="301"/>
      <c r="AT239" s="28">
        <f t="shared" si="504"/>
        <v>10.315464</v>
      </c>
    </row>
    <row r="240" spans="2:46" s="28" customFormat="1" ht="20.100000000000001" customHeight="1" x14ac:dyDescent="0.3">
      <c r="B240" s="369"/>
      <c r="C240" s="395"/>
      <c r="D240" s="371"/>
      <c r="E240" s="369"/>
      <c r="F240" s="369"/>
      <c r="G240" s="371"/>
      <c r="H240" s="371"/>
      <c r="I240" s="372"/>
      <c r="J240" s="371"/>
      <c r="K240" s="371"/>
      <c r="L240" s="371"/>
      <c r="M240" s="371"/>
      <c r="N240" s="371"/>
      <c r="O240" s="371"/>
      <c r="P240" s="371"/>
      <c r="Q240" s="371"/>
      <c r="R240" s="371"/>
      <c r="S240" s="371"/>
      <c r="T240" s="371"/>
      <c r="U240" s="369"/>
      <c r="V240" s="370"/>
      <c r="W240" s="372"/>
      <c r="X240" s="371"/>
      <c r="Y240" s="372"/>
      <c r="Z240" s="371"/>
      <c r="AA240" s="371"/>
      <c r="AB240" s="371"/>
      <c r="AC240" s="370"/>
      <c r="AD240" s="371"/>
      <c r="AE240" s="371"/>
      <c r="AF240" s="371"/>
      <c r="AG240" s="370"/>
      <c r="AH240" s="376"/>
      <c r="AI240" s="372"/>
      <c r="AK240" s="377"/>
      <c r="AL240" s="377"/>
      <c r="AM240" s="377"/>
      <c r="AN240" s="377"/>
      <c r="AO240" s="372"/>
      <c r="AP240" s="377"/>
      <c r="AQ240" s="377"/>
      <c r="AT240" s="28">
        <f t="shared" si="504"/>
        <v>0</v>
      </c>
    </row>
    <row r="241" spans="2:46" s="28" customFormat="1" ht="20.100000000000001" customHeight="1" x14ac:dyDescent="0.3">
      <c r="B241" s="92"/>
      <c r="C241" s="97" t="s">
        <v>332</v>
      </c>
      <c r="D241" s="98"/>
      <c r="E241" s="92"/>
      <c r="F241" s="92"/>
      <c r="G241" s="98"/>
      <c r="H241" s="98"/>
      <c r="I241" s="94"/>
      <c r="J241" s="92"/>
      <c r="K241" s="92"/>
      <c r="L241" s="92"/>
      <c r="M241" s="92"/>
      <c r="N241" s="92"/>
      <c r="O241" s="92"/>
      <c r="P241" s="92"/>
      <c r="Q241" s="92"/>
      <c r="R241" s="92"/>
      <c r="S241" s="92"/>
      <c r="T241" s="92"/>
      <c r="U241" s="92"/>
      <c r="V241" s="91"/>
      <c r="W241" s="102"/>
      <c r="X241" s="98"/>
      <c r="Y241" s="102"/>
      <c r="Z241" s="98"/>
      <c r="AA241" s="98"/>
      <c r="AB241" s="98"/>
      <c r="AC241" s="91"/>
      <c r="AD241" s="98"/>
      <c r="AE241" s="98"/>
      <c r="AF241" s="98"/>
      <c r="AG241" s="91"/>
      <c r="AH241" s="305"/>
      <c r="AI241" s="299"/>
      <c r="AK241" s="301">
        <f t="shared" ref="AK241:AK245" si="642">+IF(D241=0.667,E241*F241*G241,0)</f>
        <v>0</v>
      </c>
      <c r="AL241" s="301">
        <f t="shared" ref="AL241:AL245" si="643">+IF(D241=0.333,E241*F241*G241,0)</f>
        <v>0</v>
      </c>
      <c r="AM241" s="301"/>
      <c r="AN241" s="301">
        <f>+IF(D241=0.333,1.33,0)</f>
        <v>0</v>
      </c>
      <c r="AO241" s="299"/>
      <c r="AP241" s="301">
        <f t="shared" ref="AP241" si="644">+S241</f>
        <v>0</v>
      </c>
      <c r="AQ241" s="301"/>
      <c r="AT241" s="28">
        <f t="shared" si="504"/>
        <v>0</v>
      </c>
    </row>
    <row r="242" spans="2:46" s="28" customFormat="1" ht="20.100000000000001" customHeight="1" x14ac:dyDescent="0.3">
      <c r="B242" s="92"/>
      <c r="C242" s="95" t="s">
        <v>33</v>
      </c>
      <c r="D242" s="98">
        <v>0.66700000000000004</v>
      </c>
      <c r="E242" s="92">
        <v>1</v>
      </c>
      <c r="F242" s="92">
        <v>1</v>
      </c>
      <c r="G242" s="555">
        <f>+(2.135*3.281)</f>
        <v>7.0049349999999997</v>
      </c>
      <c r="H242" s="98">
        <f>+D242</f>
        <v>0.66700000000000004</v>
      </c>
      <c r="I242" s="94">
        <v>2</v>
      </c>
      <c r="J242" s="99">
        <v>3</v>
      </c>
      <c r="K242" s="100">
        <f>+IF(D242=0.667,E242*F242*G242*H242*J242,0)</f>
        <v>14.016874935000001</v>
      </c>
      <c r="L242" s="100">
        <f>+IF(D242=0.333,E242*F242*G242*J242,0)</f>
        <v>0</v>
      </c>
      <c r="M242" s="99">
        <v>4</v>
      </c>
      <c r="N242" s="100">
        <f>+IF(D242=0.667,E242*F242*G242*H242*M242,0)</f>
        <v>18.689166580000002</v>
      </c>
      <c r="O242" s="100">
        <f>+IF(D242=0.333,E242*F242*G242*M242,0)</f>
        <v>0</v>
      </c>
      <c r="P242" s="81">
        <f>11.833-I242-M242-J242</f>
        <v>2.8330000000000002</v>
      </c>
      <c r="Q242" s="100">
        <f>+IF(D242=0.667,E242*F242*G242*H242*P242,0)</f>
        <v>13.236602230285003</v>
      </c>
      <c r="R242" s="100">
        <f>+IF(D242=0.333,E242*F242*G242*P242,0)</f>
        <v>0</v>
      </c>
      <c r="S242" s="101">
        <f t="shared" ref="S242:T245" si="645">+Q242+N242+K242</f>
        <v>45.942643745285011</v>
      </c>
      <c r="T242" s="101">
        <f t="shared" si="645"/>
        <v>0</v>
      </c>
      <c r="U242" s="92"/>
      <c r="V242" s="91"/>
      <c r="W242" s="102"/>
      <c r="X242" s="98"/>
      <c r="Y242" s="102"/>
      <c r="Z242" s="98"/>
      <c r="AA242" s="98"/>
      <c r="AB242" s="98"/>
      <c r="AC242" s="91"/>
      <c r="AD242" s="98"/>
      <c r="AE242" s="98"/>
      <c r="AF242" s="98"/>
      <c r="AG242" s="91"/>
      <c r="AH242" s="305">
        <v>1</v>
      </c>
      <c r="AI242" s="299">
        <f>+AH242*G242*D242*0.17</f>
        <v>0.79428957965000013</v>
      </c>
      <c r="AK242" s="301">
        <f t="shared" si="642"/>
        <v>7.0049349999999997</v>
      </c>
      <c r="AL242" s="301">
        <f t="shared" si="643"/>
        <v>0</v>
      </c>
      <c r="AM242" s="301"/>
      <c r="AN242" s="301">
        <f>+IF(D242=0.333,1.33,0)</f>
        <v>0</v>
      </c>
      <c r="AO242" s="299"/>
      <c r="AP242" s="301">
        <f>+S242</f>
        <v>45.942643745285011</v>
      </c>
      <c r="AQ242" s="301"/>
      <c r="AT242" s="28">
        <f t="shared" si="504"/>
        <v>7.0049349999999997</v>
      </c>
    </row>
    <row r="243" spans="2:46" s="28" customFormat="1" ht="20.100000000000001" customHeight="1" x14ac:dyDescent="0.3">
      <c r="B243" s="18"/>
      <c r="C243" s="62" t="s">
        <v>130</v>
      </c>
      <c r="D243" s="98">
        <v>0.66700000000000004</v>
      </c>
      <c r="E243" s="18">
        <v>-1</v>
      </c>
      <c r="F243" s="18">
        <v>1</v>
      </c>
      <c r="G243" s="556">
        <v>3</v>
      </c>
      <c r="H243" s="20">
        <f t="shared" ref="H243" si="646">+D243</f>
        <v>0.66700000000000004</v>
      </c>
      <c r="I243" s="21"/>
      <c r="J243" s="22">
        <v>3</v>
      </c>
      <c r="K243" s="103">
        <f t="shared" ref="K243" si="647">+IF(D243=0.667,E243*F243*G243*H243*J243,0)</f>
        <v>-6.003000000000001</v>
      </c>
      <c r="L243" s="103">
        <f t="shared" ref="L243" si="648">+IF(D243=0.333,E243*F243*G243*J243,0)</f>
        <v>0</v>
      </c>
      <c r="M243" s="81">
        <v>4</v>
      </c>
      <c r="N243" s="103">
        <f t="shared" ref="N243" si="649">+IF(D243=0.667,E243*F243*G243*H243*M243,0)</f>
        <v>-8.0040000000000013</v>
      </c>
      <c r="O243" s="103">
        <f t="shared" ref="O243" si="650">+IF(D243=0.333,E243*F243*G243*M243,0)</f>
        <v>0</v>
      </c>
      <c r="P243" s="81"/>
      <c r="Q243" s="103">
        <f t="shared" ref="Q243" si="651">+IF(D243=0.667,E243*F243*G243*H243*P243,0)</f>
        <v>0</v>
      </c>
      <c r="R243" s="103">
        <f t="shared" ref="R243" si="652">+IF(D243=0.333,E243*F243*G243*P243,0)</f>
        <v>0</v>
      </c>
      <c r="S243" s="104">
        <f t="shared" si="645"/>
        <v>-14.007000000000001</v>
      </c>
      <c r="T243" s="104">
        <f t="shared" si="645"/>
        <v>0</v>
      </c>
      <c r="U243" s="18"/>
      <c r="V243" s="26"/>
      <c r="W243" s="21">
        <f>+G243+D243</f>
        <v>3.6669999999999998</v>
      </c>
      <c r="X243" s="21">
        <v>0.5</v>
      </c>
      <c r="Y243" s="21">
        <f>+IF(D243=0.667,-E243*F243*H243*W243*X243,0)</f>
        <v>1.2229445000000001</v>
      </c>
      <c r="Z243" s="21">
        <f>+IF(D243=0.333,-E243*F243*H243*W243*X243,0)</f>
        <v>0</v>
      </c>
      <c r="AA243" s="21">
        <f>+F243*G243*H243</f>
        <v>2.0010000000000003</v>
      </c>
      <c r="AB243" s="21">
        <f t="shared" ref="AB243" si="653">2*F243*W243*X243</f>
        <v>3.6669999999999998</v>
      </c>
      <c r="AC243" s="27"/>
      <c r="AD243" s="21"/>
      <c r="AE243" s="21"/>
      <c r="AF243" s="21"/>
      <c r="AG243" s="27"/>
      <c r="AH243" s="306"/>
      <c r="AI243" s="299"/>
      <c r="AK243" s="301">
        <f t="shared" si="642"/>
        <v>-3</v>
      </c>
      <c r="AL243" s="301">
        <f t="shared" si="643"/>
        <v>0</v>
      </c>
      <c r="AM243" s="301"/>
      <c r="AN243" s="301"/>
      <c r="AO243" s="299"/>
      <c r="AP243" s="301">
        <f t="shared" ref="AP243:AP245" si="654">+S243</f>
        <v>-14.007000000000001</v>
      </c>
      <c r="AQ243" s="301"/>
      <c r="AT243" s="28">
        <f t="shared" si="504"/>
        <v>-3</v>
      </c>
    </row>
    <row r="244" spans="2:46" s="28" customFormat="1" ht="20.100000000000001" customHeight="1" x14ac:dyDescent="0.3">
      <c r="B244" s="92"/>
      <c r="C244" s="95" t="s">
        <v>38</v>
      </c>
      <c r="D244" s="98">
        <v>0.66700000000000004</v>
      </c>
      <c r="E244" s="92">
        <v>1</v>
      </c>
      <c r="F244" s="92">
        <v>1</v>
      </c>
      <c r="G244" s="555">
        <f>(1.8)*3.281</f>
        <v>5.9058000000000002</v>
      </c>
      <c r="H244" s="98">
        <f>+D244</f>
        <v>0.66700000000000004</v>
      </c>
      <c r="I244" s="94">
        <v>2</v>
      </c>
      <c r="J244" s="99">
        <v>3</v>
      </c>
      <c r="K244" s="100">
        <f>+IF(D244=0.667,E244*F244*G244*H244*J244,0)</f>
        <v>11.817505800000001</v>
      </c>
      <c r="L244" s="100">
        <f>+IF(D244=0.333,E244*F244*G244*J244,0)</f>
        <v>0</v>
      </c>
      <c r="M244" s="99">
        <v>4</v>
      </c>
      <c r="N244" s="100">
        <f>+IF(D244=0.667,E244*F244*G244*H244*M244,0)</f>
        <v>15.756674400000001</v>
      </c>
      <c r="O244" s="100">
        <f>+IF(D244=0.333,E244*F244*G244*M244,0)</f>
        <v>0</v>
      </c>
      <c r="P244" s="81">
        <f t="shared" ref="P244:P245" si="655">11.833-I244-M244-J244</f>
        <v>2.8330000000000002</v>
      </c>
      <c r="Q244" s="100">
        <f>+IF(D244=0.667,E244*F244*G244*H244*P244,0)</f>
        <v>11.159664643800001</v>
      </c>
      <c r="R244" s="100">
        <f>+IF(D244=0.333,E244*F244*G244*P244,0)</f>
        <v>0</v>
      </c>
      <c r="S244" s="101">
        <f t="shared" si="645"/>
        <v>38.7338448438</v>
      </c>
      <c r="T244" s="101">
        <f t="shared" si="645"/>
        <v>0</v>
      </c>
      <c r="U244" s="92"/>
      <c r="V244" s="91"/>
      <c r="W244" s="102"/>
      <c r="X244" s="98"/>
      <c r="Y244" s="102"/>
      <c r="Z244" s="98"/>
      <c r="AA244" s="98"/>
      <c r="AB244" s="98"/>
      <c r="AC244" s="91"/>
      <c r="AD244" s="98"/>
      <c r="AE244" s="98"/>
      <c r="AF244" s="98"/>
      <c r="AG244" s="91"/>
      <c r="AH244" s="304">
        <v>1</v>
      </c>
      <c r="AI244" s="299">
        <f>+AH244*G244*D244*0.17</f>
        <v>0.66965866200000013</v>
      </c>
      <c r="AK244" s="301">
        <f t="shared" si="642"/>
        <v>5.9058000000000002</v>
      </c>
      <c r="AL244" s="301">
        <f t="shared" si="643"/>
        <v>0</v>
      </c>
      <c r="AM244" s="301"/>
      <c r="AN244" s="301"/>
      <c r="AO244" s="299"/>
      <c r="AP244" s="301">
        <f t="shared" si="654"/>
        <v>38.7338448438</v>
      </c>
      <c r="AQ244" s="301"/>
      <c r="AT244" s="28">
        <f t="shared" si="504"/>
        <v>5.9058000000000002</v>
      </c>
    </row>
    <row r="245" spans="2:46" s="28" customFormat="1" ht="20.100000000000001" customHeight="1" x14ac:dyDescent="0.3">
      <c r="B245" s="92"/>
      <c r="C245" s="95" t="s">
        <v>32</v>
      </c>
      <c r="D245" s="98">
        <v>0.66700000000000004</v>
      </c>
      <c r="E245" s="92">
        <v>1</v>
      </c>
      <c r="F245" s="92">
        <v>1</v>
      </c>
      <c r="G245" s="555">
        <f>(2.135)*3.281</f>
        <v>7.0049349999999997</v>
      </c>
      <c r="H245" s="98">
        <f>+D245</f>
        <v>0.66700000000000004</v>
      </c>
      <c r="I245" s="94">
        <v>2</v>
      </c>
      <c r="J245" s="99">
        <v>3</v>
      </c>
      <c r="K245" s="100">
        <f>+IF(D245=0.667,E245*F245*G245*H245*J245,0)</f>
        <v>14.016874935000001</v>
      </c>
      <c r="L245" s="100">
        <f>+IF(D245=0.333,E245*F245*G245*J245,0)</f>
        <v>0</v>
      </c>
      <c r="M245" s="99">
        <v>4</v>
      </c>
      <c r="N245" s="100">
        <f>+IF(D245=0.667,E245*F245*G245*H245*M245,0)</f>
        <v>18.689166580000002</v>
      </c>
      <c r="O245" s="100">
        <f>+IF(D245=0.333,E245*F245*G245*M245,0)</f>
        <v>0</v>
      </c>
      <c r="P245" s="81">
        <f t="shared" si="655"/>
        <v>2.8330000000000002</v>
      </c>
      <c r="Q245" s="100">
        <f>+IF(D245=0.667,E245*F245*G245*H245*P245,0)</f>
        <v>13.236602230285003</v>
      </c>
      <c r="R245" s="100">
        <f>+IF(D245=0.333,E245*F245*G245*P245,0)</f>
        <v>0</v>
      </c>
      <c r="S245" s="101">
        <f t="shared" si="645"/>
        <v>45.942643745285011</v>
      </c>
      <c r="T245" s="101">
        <f t="shared" si="645"/>
        <v>0</v>
      </c>
      <c r="U245" s="92"/>
      <c r="V245" s="91"/>
      <c r="W245" s="102"/>
      <c r="X245" s="98"/>
      <c r="Y245" s="102"/>
      <c r="Z245" s="98"/>
      <c r="AA245" s="98"/>
      <c r="AB245" s="98"/>
      <c r="AC245" s="91"/>
      <c r="AD245" s="98"/>
      <c r="AE245" s="98"/>
      <c r="AF245" s="98"/>
      <c r="AG245" s="91"/>
      <c r="AH245" s="304">
        <v>1</v>
      </c>
      <c r="AI245" s="299">
        <f>+AH245*G245*D245*0.17</f>
        <v>0.79428957965000013</v>
      </c>
      <c r="AK245" s="301">
        <f t="shared" si="642"/>
        <v>7.0049349999999997</v>
      </c>
      <c r="AL245" s="301">
        <f t="shared" si="643"/>
        <v>0</v>
      </c>
      <c r="AM245" s="301"/>
      <c r="AN245" s="301"/>
      <c r="AO245" s="299"/>
      <c r="AP245" s="301">
        <f t="shared" si="654"/>
        <v>45.942643745285011</v>
      </c>
      <c r="AQ245" s="301"/>
      <c r="AT245" s="28">
        <f t="shared" si="504"/>
        <v>7.0049349999999997</v>
      </c>
    </row>
    <row r="246" spans="2:46" s="28" customFormat="1" ht="20.100000000000001" customHeight="1" x14ac:dyDescent="0.3">
      <c r="B246" s="369"/>
      <c r="C246" s="395"/>
      <c r="D246" s="371"/>
      <c r="E246" s="369"/>
      <c r="F246" s="369"/>
      <c r="G246" s="371"/>
      <c r="H246" s="371"/>
      <c r="I246" s="372"/>
      <c r="J246" s="371"/>
      <c r="K246" s="371"/>
      <c r="L246" s="371"/>
      <c r="M246" s="371"/>
      <c r="N246" s="371"/>
      <c r="O246" s="371"/>
      <c r="P246" s="371"/>
      <c r="Q246" s="371"/>
      <c r="R246" s="371"/>
      <c r="S246" s="371"/>
      <c r="T246" s="371"/>
      <c r="U246" s="369"/>
      <c r="V246" s="370"/>
      <c r="W246" s="372"/>
      <c r="X246" s="371"/>
      <c r="Y246" s="372"/>
      <c r="Z246" s="371"/>
      <c r="AA246" s="371"/>
      <c r="AB246" s="371"/>
      <c r="AC246" s="370"/>
      <c r="AD246" s="371"/>
      <c r="AE246" s="371"/>
      <c r="AF246" s="371"/>
      <c r="AG246" s="370"/>
      <c r="AH246" s="376"/>
      <c r="AI246" s="372"/>
      <c r="AK246" s="377"/>
      <c r="AL246" s="377"/>
      <c r="AM246" s="377"/>
      <c r="AN246" s="377"/>
      <c r="AO246" s="372"/>
      <c r="AP246" s="377"/>
      <c r="AQ246" s="377"/>
      <c r="AT246" s="28">
        <f t="shared" si="504"/>
        <v>0</v>
      </c>
    </row>
    <row r="247" spans="2:46" s="28" customFormat="1" ht="20.100000000000001" customHeight="1" x14ac:dyDescent="0.3">
      <c r="B247" s="92"/>
      <c r="C247" s="97" t="s">
        <v>332</v>
      </c>
      <c r="D247" s="98"/>
      <c r="E247" s="92"/>
      <c r="F247" s="92"/>
      <c r="G247" s="98"/>
      <c r="H247" s="98"/>
      <c r="I247" s="94"/>
      <c r="J247" s="92"/>
      <c r="K247" s="92"/>
      <c r="L247" s="92"/>
      <c r="M247" s="92"/>
      <c r="N247" s="92"/>
      <c r="O247" s="92"/>
      <c r="P247" s="92"/>
      <c r="Q247" s="92"/>
      <c r="R247" s="92"/>
      <c r="S247" s="92"/>
      <c r="T247" s="92"/>
      <c r="U247" s="92"/>
      <c r="V247" s="91"/>
      <c r="W247" s="102"/>
      <c r="X247" s="98"/>
      <c r="Y247" s="102"/>
      <c r="Z247" s="98"/>
      <c r="AA247" s="98"/>
      <c r="AB247" s="98"/>
      <c r="AC247" s="91"/>
      <c r="AD247" s="98"/>
      <c r="AE247" s="98"/>
      <c r="AF247" s="98"/>
      <c r="AG247" s="91"/>
      <c r="AH247" s="305"/>
      <c r="AI247" s="299"/>
      <c r="AK247" s="301">
        <f t="shared" ref="AK247:AK251" si="656">+IF(D247=0.667,E247*F247*G247,0)</f>
        <v>0</v>
      </c>
      <c r="AL247" s="301">
        <f t="shared" ref="AL247:AL251" si="657">+IF(D247=0.333,E247*F247*G247,0)</f>
        <v>0</v>
      </c>
      <c r="AM247" s="301"/>
      <c r="AN247" s="301">
        <f>+IF(D247=0.333,1.33,0)</f>
        <v>0</v>
      </c>
      <c r="AO247" s="299"/>
      <c r="AP247" s="301">
        <f t="shared" ref="AP247" si="658">+S247</f>
        <v>0</v>
      </c>
      <c r="AQ247" s="301"/>
      <c r="AT247" s="28">
        <f t="shared" si="504"/>
        <v>0</v>
      </c>
    </row>
    <row r="248" spans="2:46" s="28" customFormat="1" ht="20.100000000000001" customHeight="1" x14ac:dyDescent="0.3">
      <c r="B248" s="92"/>
      <c r="C248" s="95" t="s">
        <v>33</v>
      </c>
      <c r="D248" s="98">
        <v>0.66700000000000004</v>
      </c>
      <c r="E248" s="92">
        <v>1</v>
      </c>
      <c r="F248" s="92">
        <v>1</v>
      </c>
      <c r="G248" s="555">
        <f>+(2.135*3.281)</f>
        <v>7.0049349999999997</v>
      </c>
      <c r="H248" s="98">
        <f>+D248</f>
        <v>0.66700000000000004</v>
      </c>
      <c r="I248" s="94">
        <v>2</v>
      </c>
      <c r="J248" s="99">
        <v>3</v>
      </c>
      <c r="K248" s="100">
        <f>+IF(D248=0.667,E248*F248*G248*H248*J248,0)</f>
        <v>14.016874935000001</v>
      </c>
      <c r="L248" s="100">
        <f>+IF(D248=0.333,E248*F248*G248*J248,0)</f>
        <v>0</v>
      </c>
      <c r="M248" s="99">
        <v>4</v>
      </c>
      <c r="N248" s="100">
        <f>+IF(D248=0.667,E248*F248*G248*H248*M248,0)</f>
        <v>18.689166580000002</v>
      </c>
      <c r="O248" s="100">
        <f>+IF(D248=0.333,E248*F248*G248*M248,0)</f>
        <v>0</v>
      </c>
      <c r="P248" s="81">
        <f>11.833-I248-M248-J248</f>
        <v>2.8330000000000002</v>
      </c>
      <c r="Q248" s="100">
        <f>+IF(D248=0.667,E248*F248*G248*H248*P248,0)</f>
        <v>13.236602230285003</v>
      </c>
      <c r="R248" s="100">
        <f>+IF(D248=0.333,E248*F248*G248*P248,0)</f>
        <v>0</v>
      </c>
      <c r="S248" s="101">
        <f t="shared" ref="S248:T251" si="659">+Q248+N248+K248</f>
        <v>45.942643745285011</v>
      </c>
      <c r="T248" s="101">
        <f t="shared" si="659"/>
        <v>0</v>
      </c>
      <c r="U248" s="92"/>
      <c r="V248" s="91"/>
      <c r="W248" s="102"/>
      <c r="X248" s="98"/>
      <c r="Y248" s="102"/>
      <c r="Z248" s="98"/>
      <c r="AA248" s="98"/>
      <c r="AB248" s="98"/>
      <c r="AC248" s="91"/>
      <c r="AD248" s="98"/>
      <c r="AE248" s="98"/>
      <c r="AF248" s="98"/>
      <c r="AG248" s="91"/>
      <c r="AH248" s="305">
        <v>1</v>
      </c>
      <c r="AI248" s="299">
        <f>+AH248*G248*D248*0.17</f>
        <v>0.79428957965000013</v>
      </c>
      <c r="AK248" s="301">
        <f t="shared" si="656"/>
        <v>7.0049349999999997</v>
      </c>
      <c r="AL248" s="301">
        <f t="shared" si="657"/>
        <v>0</v>
      </c>
      <c r="AM248" s="301"/>
      <c r="AN248" s="301">
        <f>+IF(D248=0.333,1.33,0)</f>
        <v>0</v>
      </c>
      <c r="AO248" s="299"/>
      <c r="AP248" s="301">
        <f>+S248</f>
        <v>45.942643745285011</v>
      </c>
      <c r="AQ248" s="301"/>
      <c r="AT248" s="28">
        <f t="shared" si="504"/>
        <v>7.0049349999999997</v>
      </c>
    </row>
    <row r="249" spans="2:46" s="28" customFormat="1" ht="20.100000000000001" customHeight="1" x14ac:dyDescent="0.3">
      <c r="B249" s="18"/>
      <c r="C249" s="62" t="s">
        <v>130</v>
      </c>
      <c r="D249" s="98">
        <v>0.66700000000000004</v>
      </c>
      <c r="E249" s="18">
        <v>-1</v>
      </c>
      <c r="F249" s="18">
        <v>1</v>
      </c>
      <c r="G249" s="556">
        <v>3</v>
      </c>
      <c r="H249" s="20">
        <f t="shared" ref="H249" si="660">+D249</f>
        <v>0.66700000000000004</v>
      </c>
      <c r="I249" s="21"/>
      <c r="J249" s="22">
        <v>3</v>
      </c>
      <c r="K249" s="103">
        <f t="shared" ref="K249" si="661">+IF(D249=0.667,E249*F249*G249*H249*J249,0)</f>
        <v>-6.003000000000001</v>
      </c>
      <c r="L249" s="103">
        <f t="shared" ref="L249" si="662">+IF(D249=0.333,E249*F249*G249*J249,0)</f>
        <v>0</v>
      </c>
      <c r="M249" s="81">
        <v>4</v>
      </c>
      <c r="N249" s="103">
        <f t="shared" ref="N249" si="663">+IF(D249=0.667,E249*F249*G249*H249*M249,0)</f>
        <v>-8.0040000000000013</v>
      </c>
      <c r="O249" s="103">
        <f t="shared" ref="O249" si="664">+IF(D249=0.333,E249*F249*G249*M249,0)</f>
        <v>0</v>
      </c>
      <c r="P249" s="81"/>
      <c r="Q249" s="103">
        <f t="shared" ref="Q249" si="665">+IF(D249=0.667,E249*F249*G249*H249*P249,0)</f>
        <v>0</v>
      </c>
      <c r="R249" s="103">
        <f t="shared" ref="R249" si="666">+IF(D249=0.333,E249*F249*G249*P249,0)</f>
        <v>0</v>
      </c>
      <c r="S249" s="104">
        <f t="shared" si="659"/>
        <v>-14.007000000000001</v>
      </c>
      <c r="T249" s="104">
        <f t="shared" si="659"/>
        <v>0</v>
      </c>
      <c r="U249" s="18"/>
      <c r="V249" s="26"/>
      <c r="W249" s="21">
        <f>+G249+D249</f>
        <v>3.6669999999999998</v>
      </c>
      <c r="X249" s="21">
        <v>0.5</v>
      </c>
      <c r="Y249" s="21">
        <f>+IF(D249=0.667,-E249*F249*H249*W249*X249,0)</f>
        <v>1.2229445000000001</v>
      </c>
      <c r="Z249" s="21">
        <f>+IF(D249=0.333,-E249*F249*H249*W249*X249,0)</f>
        <v>0</v>
      </c>
      <c r="AA249" s="21">
        <f>+F249*G249*H249</f>
        <v>2.0010000000000003</v>
      </c>
      <c r="AB249" s="21">
        <f t="shared" ref="AB249" si="667">2*F249*W249*X249</f>
        <v>3.6669999999999998</v>
      </c>
      <c r="AC249" s="27"/>
      <c r="AD249" s="21"/>
      <c r="AE249" s="21"/>
      <c r="AF249" s="21"/>
      <c r="AG249" s="27"/>
      <c r="AH249" s="306"/>
      <c r="AI249" s="299"/>
      <c r="AK249" s="301">
        <f t="shared" si="656"/>
        <v>-3</v>
      </c>
      <c r="AL249" s="301">
        <f t="shared" si="657"/>
        <v>0</v>
      </c>
      <c r="AM249" s="301"/>
      <c r="AN249" s="301"/>
      <c r="AO249" s="299"/>
      <c r="AP249" s="301">
        <f t="shared" ref="AP249:AP251" si="668">+S249</f>
        <v>-14.007000000000001</v>
      </c>
      <c r="AQ249" s="301"/>
      <c r="AT249" s="28">
        <f t="shared" si="504"/>
        <v>-3</v>
      </c>
    </row>
    <row r="250" spans="2:46" s="28" customFormat="1" ht="20.100000000000001" customHeight="1" x14ac:dyDescent="0.3">
      <c r="B250" s="92"/>
      <c r="C250" s="95" t="s">
        <v>38</v>
      </c>
      <c r="D250" s="98">
        <v>0.66700000000000004</v>
      </c>
      <c r="E250" s="92">
        <v>1</v>
      </c>
      <c r="F250" s="92">
        <v>1</v>
      </c>
      <c r="G250" s="555">
        <f>(1.35)*3.281</f>
        <v>4.4293500000000003</v>
      </c>
      <c r="H250" s="98">
        <f>+D250</f>
        <v>0.66700000000000004</v>
      </c>
      <c r="I250" s="94">
        <v>2</v>
      </c>
      <c r="J250" s="99">
        <v>3</v>
      </c>
      <c r="K250" s="100">
        <f>+IF(D250=0.667,E250*F250*G250*H250*J250,0)</f>
        <v>8.8631293500000012</v>
      </c>
      <c r="L250" s="100">
        <f>+IF(D250=0.333,E250*F250*G250*J250,0)</f>
        <v>0</v>
      </c>
      <c r="M250" s="99">
        <v>4</v>
      </c>
      <c r="N250" s="100">
        <f>+IF(D250=0.667,E250*F250*G250*H250*M250,0)</f>
        <v>11.817505800000001</v>
      </c>
      <c r="O250" s="100">
        <f>+IF(D250=0.333,E250*F250*G250*M250,0)</f>
        <v>0</v>
      </c>
      <c r="P250" s="81">
        <f t="shared" ref="P250:P251" si="669">11.833-I250-M250-J250</f>
        <v>2.8330000000000002</v>
      </c>
      <c r="Q250" s="100">
        <f>+IF(D250=0.667,E250*F250*G250*H250*P250,0)</f>
        <v>8.3697484828500013</v>
      </c>
      <c r="R250" s="100">
        <f>+IF(D250=0.333,E250*F250*G250*P250,0)</f>
        <v>0</v>
      </c>
      <c r="S250" s="101">
        <f t="shared" si="659"/>
        <v>29.050383632850004</v>
      </c>
      <c r="T250" s="101">
        <f t="shared" si="659"/>
        <v>0</v>
      </c>
      <c r="U250" s="92"/>
      <c r="V250" s="91"/>
      <c r="W250" s="102"/>
      <c r="X250" s="98"/>
      <c r="Y250" s="102"/>
      <c r="Z250" s="98"/>
      <c r="AA250" s="98"/>
      <c r="AB250" s="98"/>
      <c r="AC250" s="91"/>
      <c r="AD250" s="98"/>
      <c r="AE250" s="98"/>
      <c r="AF250" s="98"/>
      <c r="AG250" s="91"/>
      <c r="AH250" s="304">
        <v>1</v>
      </c>
      <c r="AI250" s="299">
        <f>+AH250*G250*D250*0.17</f>
        <v>0.50224399650000007</v>
      </c>
      <c r="AK250" s="301">
        <f t="shared" si="656"/>
        <v>4.4293500000000003</v>
      </c>
      <c r="AL250" s="301">
        <f t="shared" si="657"/>
        <v>0</v>
      </c>
      <c r="AM250" s="301"/>
      <c r="AN250" s="301"/>
      <c r="AO250" s="299"/>
      <c r="AP250" s="301">
        <f t="shared" si="668"/>
        <v>29.050383632850004</v>
      </c>
      <c r="AQ250" s="301"/>
      <c r="AT250" s="28">
        <f t="shared" si="504"/>
        <v>4.4293500000000003</v>
      </c>
    </row>
    <row r="251" spans="2:46" s="28" customFormat="1" ht="20.100000000000001" customHeight="1" x14ac:dyDescent="0.3">
      <c r="B251" s="92"/>
      <c r="C251" s="95" t="s">
        <v>32</v>
      </c>
      <c r="D251" s="98">
        <v>0.66700000000000004</v>
      </c>
      <c r="E251" s="92">
        <v>1</v>
      </c>
      <c r="F251" s="92">
        <v>1</v>
      </c>
      <c r="G251" s="555">
        <f>(2.135)*3.281</f>
        <v>7.0049349999999997</v>
      </c>
      <c r="H251" s="98">
        <f>+D251</f>
        <v>0.66700000000000004</v>
      </c>
      <c r="I251" s="94">
        <v>2</v>
      </c>
      <c r="J251" s="99">
        <v>3</v>
      </c>
      <c r="K251" s="100">
        <f>+IF(D251=0.667,E251*F251*G251*H251*J251,0)</f>
        <v>14.016874935000001</v>
      </c>
      <c r="L251" s="100">
        <f>+IF(D251=0.333,E251*F251*G251*J251,0)</f>
        <v>0</v>
      </c>
      <c r="M251" s="99">
        <v>4</v>
      </c>
      <c r="N251" s="100">
        <f>+IF(D251=0.667,E251*F251*G251*H251*M251,0)</f>
        <v>18.689166580000002</v>
      </c>
      <c r="O251" s="100">
        <f>+IF(D251=0.333,E251*F251*G251*M251,0)</f>
        <v>0</v>
      </c>
      <c r="P251" s="81">
        <f t="shared" si="669"/>
        <v>2.8330000000000002</v>
      </c>
      <c r="Q251" s="100">
        <f>+IF(D251=0.667,E251*F251*G251*H251*P251,0)</f>
        <v>13.236602230285003</v>
      </c>
      <c r="R251" s="100">
        <f>+IF(D251=0.333,E251*F251*G251*P251,0)</f>
        <v>0</v>
      </c>
      <c r="S251" s="101">
        <f t="shared" si="659"/>
        <v>45.942643745285011</v>
      </c>
      <c r="T251" s="101">
        <f t="shared" si="659"/>
        <v>0</v>
      </c>
      <c r="U251" s="92"/>
      <c r="V251" s="91"/>
      <c r="W251" s="102"/>
      <c r="X251" s="98"/>
      <c r="Y251" s="102"/>
      <c r="Z251" s="98"/>
      <c r="AA251" s="98"/>
      <c r="AB251" s="98"/>
      <c r="AC251" s="91"/>
      <c r="AD251" s="98"/>
      <c r="AE251" s="98"/>
      <c r="AF251" s="98"/>
      <c r="AG251" s="91"/>
      <c r="AH251" s="304">
        <v>1</v>
      </c>
      <c r="AI251" s="299">
        <f>+AH251*G251*D251*0.17</f>
        <v>0.79428957965000013</v>
      </c>
      <c r="AK251" s="301">
        <f t="shared" si="656"/>
        <v>7.0049349999999997</v>
      </c>
      <c r="AL251" s="301">
        <f t="shared" si="657"/>
        <v>0</v>
      </c>
      <c r="AM251" s="301"/>
      <c r="AN251" s="301"/>
      <c r="AO251" s="299"/>
      <c r="AP251" s="301">
        <f t="shared" si="668"/>
        <v>45.942643745285011</v>
      </c>
      <c r="AQ251" s="301"/>
      <c r="AT251" s="28">
        <f t="shared" si="504"/>
        <v>7.0049349999999997</v>
      </c>
    </row>
    <row r="252" spans="2:46" s="28" customFormat="1" ht="20.100000000000001" customHeight="1" x14ac:dyDescent="0.3">
      <c r="B252" s="369"/>
      <c r="C252" s="395"/>
      <c r="D252" s="371"/>
      <c r="E252" s="369"/>
      <c r="F252" s="369"/>
      <c r="G252" s="371"/>
      <c r="H252" s="371"/>
      <c r="I252" s="372"/>
      <c r="J252" s="371"/>
      <c r="K252" s="371"/>
      <c r="L252" s="371"/>
      <c r="M252" s="371"/>
      <c r="N252" s="371"/>
      <c r="O252" s="371"/>
      <c r="P252" s="371"/>
      <c r="Q252" s="371"/>
      <c r="R252" s="371"/>
      <c r="S252" s="371"/>
      <c r="T252" s="371"/>
      <c r="U252" s="369"/>
      <c r="V252" s="370"/>
      <c r="W252" s="372"/>
      <c r="X252" s="371"/>
      <c r="Y252" s="372"/>
      <c r="Z252" s="371"/>
      <c r="AA252" s="371"/>
      <c r="AB252" s="371"/>
      <c r="AC252" s="370"/>
      <c r="AD252" s="371"/>
      <c r="AE252" s="371"/>
      <c r="AF252" s="371"/>
      <c r="AG252" s="370"/>
      <c r="AH252" s="376"/>
      <c r="AI252" s="372"/>
      <c r="AK252" s="377"/>
      <c r="AL252" s="377"/>
      <c r="AM252" s="377"/>
      <c r="AN252" s="377"/>
      <c r="AO252" s="372"/>
      <c r="AP252" s="377"/>
      <c r="AQ252" s="377"/>
      <c r="AT252" s="28">
        <f t="shared" si="504"/>
        <v>0</v>
      </c>
    </row>
    <row r="253" spans="2:46" s="28" customFormat="1" ht="20.100000000000001" customHeight="1" x14ac:dyDescent="0.3">
      <c r="B253" s="369"/>
      <c r="C253" s="97" t="s">
        <v>397</v>
      </c>
      <c r="D253" s="371"/>
      <c r="E253" s="369"/>
      <c r="F253" s="369"/>
      <c r="G253" s="371"/>
      <c r="H253" s="371"/>
      <c r="I253" s="372"/>
      <c r="J253" s="371"/>
      <c r="K253" s="371"/>
      <c r="L253" s="371"/>
      <c r="M253" s="371"/>
      <c r="N253" s="371"/>
      <c r="O253" s="371"/>
      <c r="P253" s="371"/>
      <c r="Q253" s="371"/>
      <c r="R253" s="371"/>
      <c r="S253" s="371"/>
      <c r="T253" s="371"/>
      <c r="U253" s="369"/>
      <c r="V253" s="370"/>
      <c r="W253" s="372"/>
      <c r="X253" s="371"/>
      <c r="Y253" s="372"/>
      <c r="Z253" s="371"/>
      <c r="AA253" s="371"/>
      <c r="AB253" s="371"/>
      <c r="AC253" s="370"/>
      <c r="AD253" s="371"/>
      <c r="AE253" s="371"/>
      <c r="AF253" s="371"/>
      <c r="AG253" s="370"/>
      <c r="AH253" s="376"/>
      <c r="AI253" s="372"/>
      <c r="AK253" s="377"/>
      <c r="AL253" s="377"/>
      <c r="AM253" s="377"/>
      <c r="AN253" s="377"/>
      <c r="AO253" s="372"/>
      <c r="AP253" s="377"/>
      <c r="AQ253" s="377"/>
      <c r="AT253" s="28">
        <f t="shared" si="504"/>
        <v>0</v>
      </c>
    </row>
    <row r="254" spans="2:46" s="28" customFormat="1" ht="20.100000000000001" customHeight="1" x14ac:dyDescent="0.3">
      <c r="B254" s="92"/>
      <c r="C254" s="95" t="s">
        <v>32</v>
      </c>
      <c r="D254" s="98">
        <v>0.66700000000000004</v>
      </c>
      <c r="E254" s="92">
        <v>1</v>
      </c>
      <c r="F254" s="92">
        <v>1</v>
      </c>
      <c r="G254" s="555">
        <f>(4.948+7.49+2.98)*3.281</f>
        <v>50.586458000000007</v>
      </c>
      <c r="H254" s="98">
        <f>+D254</f>
        <v>0.66700000000000004</v>
      </c>
      <c r="I254" s="94">
        <v>2</v>
      </c>
      <c r="J254" s="99">
        <v>3</v>
      </c>
      <c r="K254" s="100">
        <f>+IF(D254=0.667,E254*F254*G254*H254*J254,0)</f>
        <v>101.22350245800003</v>
      </c>
      <c r="L254" s="100">
        <f>+IF(D254=0.333,E254*F254*G254*J254,0)</f>
        <v>0</v>
      </c>
      <c r="M254" s="99">
        <v>4</v>
      </c>
      <c r="N254" s="100">
        <f>+IF(D254=0.667,E254*F254*G254*H254*M254,0)</f>
        <v>134.96466994400004</v>
      </c>
      <c r="O254" s="100">
        <f>+IF(D254=0.333,E254*F254*G254*M254,0)</f>
        <v>0</v>
      </c>
      <c r="P254" s="81">
        <f>11.833-I254-M254-J254</f>
        <v>2.8330000000000002</v>
      </c>
      <c r="Q254" s="100">
        <f>+IF(D254=0.667,E254*F254*G254*H254*P254,0)</f>
        <v>95.588727487838028</v>
      </c>
      <c r="R254" s="100">
        <f>+IF(D254=0.333,E254*F254*G254*P254,0)</f>
        <v>0</v>
      </c>
      <c r="S254" s="101">
        <f t="shared" ref="S254:T259" si="670">+Q254+N254+K254</f>
        <v>331.77689988983809</v>
      </c>
      <c r="T254" s="101">
        <f t="shared" si="670"/>
        <v>0</v>
      </c>
      <c r="U254" s="92"/>
      <c r="V254" s="91"/>
      <c r="W254" s="102"/>
      <c r="X254" s="98"/>
      <c r="Y254" s="102"/>
      <c r="Z254" s="98"/>
      <c r="AA254" s="98"/>
      <c r="AB254" s="98"/>
      <c r="AC254" s="91"/>
      <c r="AD254" s="98"/>
      <c r="AE254" s="98"/>
      <c r="AF254" s="98"/>
      <c r="AG254" s="91"/>
      <c r="AH254" s="305">
        <v>1</v>
      </c>
      <c r="AI254" s="299">
        <f>+AH254*G254*D254*0.17</f>
        <v>5.7359984726200022</v>
      </c>
      <c r="AK254" s="301">
        <f t="shared" ref="AK254" si="671">+IF(D254=0.667,E254*F254*G254,0)</f>
        <v>50.586458000000007</v>
      </c>
      <c r="AL254" s="301">
        <f t="shared" ref="AL254:AL259" si="672">+IF(D254=0.333,E254*F254*G254,0)</f>
        <v>0</v>
      </c>
      <c r="AM254" s="301"/>
      <c r="AN254" s="301">
        <f>+IF(D254=0.333,1.33,0)</f>
        <v>0</v>
      </c>
      <c r="AO254" s="299"/>
      <c r="AP254" s="301"/>
      <c r="AQ254" s="301"/>
      <c r="AT254" s="28">
        <f t="shared" si="504"/>
        <v>50.586458000000007</v>
      </c>
    </row>
    <row r="255" spans="2:46" s="28" customFormat="1" ht="20.100000000000001" customHeight="1" x14ac:dyDescent="0.3">
      <c r="B255" s="92"/>
      <c r="C255" s="95" t="s">
        <v>347</v>
      </c>
      <c r="D255" s="98">
        <v>0.66700000000000004</v>
      </c>
      <c r="E255" s="92">
        <v>-1</v>
      </c>
      <c r="F255" s="92">
        <v>4</v>
      </c>
      <c r="G255" s="555">
        <v>6</v>
      </c>
      <c r="H255" s="98">
        <f t="shared" ref="H255" si="673">+D255</f>
        <v>0.66700000000000004</v>
      </c>
      <c r="I255" s="94"/>
      <c r="J255" s="99"/>
      <c r="K255" s="100">
        <f t="shared" ref="K255" si="674">+IF(D255=0.667,E255*F255*G255*H255*J255,0)</f>
        <v>0</v>
      </c>
      <c r="L255" s="100">
        <f t="shared" ref="L255" si="675">+IF(D255=0.333,E255*F255*G255*J255,0)</f>
        <v>0</v>
      </c>
      <c r="M255" s="99">
        <v>4</v>
      </c>
      <c r="N255" s="100">
        <f t="shared" ref="N255" si="676">+IF(D255=0.667,E255*F255*G255*H255*M255,0)</f>
        <v>-64.032000000000011</v>
      </c>
      <c r="O255" s="100">
        <f t="shared" ref="O255" si="677">+IF(D255=0.333,E255*F255*G255*M255,0)</f>
        <v>0</v>
      </c>
      <c r="P255" s="81">
        <v>0</v>
      </c>
      <c r="Q255" s="100">
        <f t="shared" ref="Q255" si="678">+IF(D255=0.667,E255*F255*G255*H255*P255,0)</f>
        <v>0</v>
      </c>
      <c r="R255" s="100">
        <f t="shared" ref="R255" si="679">+IF(D255=0.333,E255*F255*G255*P255,0)</f>
        <v>0</v>
      </c>
      <c r="S255" s="101">
        <f t="shared" si="670"/>
        <v>-64.032000000000011</v>
      </c>
      <c r="T255" s="101">
        <f t="shared" si="670"/>
        <v>0</v>
      </c>
      <c r="U255" s="92"/>
      <c r="V255" s="91"/>
      <c r="W255" s="102">
        <f>+G255+D255</f>
        <v>6.6669999999999998</v>
      </c>
      <c r="X255" s="98">
        <v>0.5</v>
      </c>
      <c r="Y255" s="102">
        <f>+IF(D255=0.667,-E255*F255*H255*W255*X255,0)</f>
        <v>8.8937780000000011</v>
      </c>
      <c r="Z255" s="98">
        <f>+IF(D255=0.333,-E255*F255*H255*W255*X255,0)</f>
        <v>0</v>
      </c>
      <c r="AA255" s="98">
        <f>+F255*G255*H255</f>
        <v>16.008000000000003</v>
      </c>
      <c r="AB255" s="98">
        <f t="shared" ref="AB255" si="680">2*F255*W255*X255</f>
        <v>26.667999999999999</v>
      </c>
      <c r="AC255" s="91"/>
      <c r="AD255" s="98">
        <v>0.16700000000000001</v>
      </c>
      <c r="AE255" s="98">
        <f t="shared" ref="AE255" si="681">+IF(D255=0.667,AD255*W255*H255*F255,0)</f>
        <v>2.9705218520000001</v>
      </c>
      <c r="AF255" s="98">
        <f t="shared" ref="AF255" si="682">+IF(D255=0.333,AD255*W255*H255*F255,0)</f>
        <v>0</v>
      </c>
      <c r="AG255" s="91"/>
      <c r="AH255" s="305"/>
      <c r="AI255" s="299">
        <f t="shared" ref="AI255" si="683">+AH255*G255*D255*0.17</f>
        <v>0</v>
      </c>
      <c r="AK255" s="301"/>
      <c r="AL255" s="301">
        <f t="shared" si="672"/>
        <v>0</v>
      </c>
      <c r="AM255" s="301"/>
      <c r="AN255" s="301"/>
      <c r="AO255" s="299"/>
      <c r="AP255" s="301"/>
      <c r="AQ255" s="301"/>
      <c r="AT255" s="28">
        <f t="shared" si="504"/>
        <v>-24</v>
      </c>
    </row>
    <row r="256" spans="2:46" s="28" customFormat="1" ht="20.100000000000001" customHeight="1" x14ac:dyDescent="0.3">
      <c r="B256" s="92"/>
      <c r="C256" s="95" t="s">
        <v>31</v>
      </c>
      <c r="D256" s="98">
        <v>0.66700000000000004</v>
      </c>
      <c r="E256" s="92">
        <v>1</v>
      </c>
      <c r="F256" s="92">
        <v>1</v>
      </c>
      <c r="G256" s="555">
        <f>(2.5*0+3.66*0+3.66+5.48)*3.281</f>
        <v>29.988340000000004</v>
      </c>
      <c r="H256" s="98">
        <f>+D256</f>
        <v>0.66700000000000004</v>
      </c>
      <c r="I256" s="94">
        <v>2</v>
      </c>
      <c r="J256" s="99">
        <v>3</v>
      </c>
      <c r="K256" s="100">
        <f>+IF(D256=0.667,E256*F256*G256*H256*J256,0)</f>
        <v>60.006668340000012</v>
      </c>
      <c r="L256" s="100">
        <f>+IF(D256=0.333,E256*F256*G256*J256,0)</f>
        <v>0</v>
      </c>
      <c r="M256" s="99">
        <v>4</v>
      </c>
      <c r="N256" s="100">
        <f>+IF(D256=0.667,E256*F256*G256*H256*M256,0)</f>
        <v>80.008891120000015</v>
      </c>
      <c r="O256" s="100">
        <f>+IF(D256=0.333,E256*F256*G256*M256,0)</f>
        <v>0</v>
      </c>
      <c r="P256" s="81">
        <f>11.833-I256-M256-J256</f>
        <v>2.8330000000000002</v>
      </c>
      <c r="Q256" s="100">
        <f>+IF(D256=0.667,E256*F256*G256*H256*P256,0)</f>
        <v>56.666297135740017</v>
      </c>
      <c r="R256" s="100">
        <f>+IF(D256=0.333,E256*F256*G256*P256,0)</f>
        <v>0</v>
      </c>
      <c r="S256" s="101">
        <f t="shared" si="670"/>
        <v>196.68185659574004</v>
      </c>
      <c r="T256" s="101">
        <f t="shared" si="670"/>
        <v>0</v>
      </c>
      <c r="U256" s="92"/>
      <c r="V256" s="91"/>
      <c r="W256" s="102"/>
      <c r="X256" s="98"/>
      <c r="Y256" s="102"/>
      <c r="Z256" s="98"/>
      <c r="AA256" s="98"/>
      <c r="AB256" s="98"/>
      <c r="AC256" s="91"/>
      <c r="AD256" s="98"/>
      <c r="AE256" s="98"/>
      <c r="AF256" s="98"/>
      <c r="AG256" s="91"/>
      <c r="AH256" s="305">
        <v>1</v>
      </c>
      <c r="AI256" s="299">
        <f>+AH256*G256*D256*0.17</f>
        <v>3.4003778726000009</v>
      </c>
      <c r="AK256" s="301">
        <f t="shared" ref="AK256:AK259" si="684">+IF(D256=0.667,E256*F256*G256,0)</f>
        <v>29.988340000000004</v>
      </c>
      <c r="AL256" s="301">
        <f t="shared" si="672"/>
        <v>0</v>
      </c>
      <c r="AM256" s="301"/>
      <c r="AN256" s="301">
        <f>+IF(D256=0.333,1.33,0)</f>
        <v>0</v>
      </c>
      <c r="AO256" s="299"/>
      <c r="AP256" s="301"/>
      <c r="AQ256" s="301"/>
      <c r="AT256" s="28">
        <f t="shared" si="504"/>
        <v>29.988340000000004</v>
      </c>
    </row>
    <row r="257" spans="2:46" s="28" customFormat="1" ht="20.100000000000001" customHeight="1" x14ac:dyDescent="0.3">
      <c r="B257" s="92"/>
      <c r="C257" s="95" t="s">
        <v>335</v>
      </c>
      <c r="D257" s="98">
        <v>0.66700000000000004</v>
      </c>
      <c r="E257" s="92">
        <v>-1</v>
      </c>
      <c r="F257" s="92">
        <v>1</v>
      </c>
      <c r="G257" s="555">
        <f>3.5+3.5</f>
        <v>7</v>
      </c>
      <c r="H257" s="98">
        <f>+D257</f>
        <v>0.66700000000000004</v>
      </c>
      <c r="I257" s="102"/>
      <c r="J257" s="99">
        <v>3</v>
      </c>
      <c r="K257" s="100">
        <f>+IF(D257=0.667,E257*F257*G257*H257*J257,0)</f>
        <v>-14.007000000000001</v>
      </c>
      <c r="L257" s="100">
        <f>+IF(D257=0.333,E257*F257*G257*J257,0)</f>
        <v>0</v>
      </c>
      <c r="M257" s="99">
        <v>4</v>
      </c>
      <c r="N257" s="100">
        <f>+IF(D257=0.667,E257*F257*G257*H257*M257,0)</f>
        <v>-18.676000000000002</v>
      </c>
      <c r="O257" s="100">
        <f>+IF(D257=0.333,E257*F257*G257*M257,0)</f>
        <v>0</v>
      </c>
      <c r="P257" s="99">
        <v>0.5</v>
      </c>
      <c r="Q257" s="100">
        <f>+IF(D257=0.667,E257*F257*G257*H257*P257,0)</f>
        <v>-2.3345000000000002</v>
      </c>
      <c r="R257" s="100">
        <f>+IF(D257=0.333,E257*F257*G257*P257,0)</f>
        <v>0</v>
      </c>
      <c r="S257" s="101">
        <f t="shared" si="670"/>
        <v>-35.017499999999998</v>
      </c>
      <c r="T257" s="101">
        <f t="shared" si="670"/>
        <v>0</v>
      </c>
      <c r="U257" s="92"/>
      <c r="V257" s="91"/>
      <c r="W257" s="98">
        <f>+G257+D257*2</f>
        <v>8.3339999999999996</v>
      </c>
      <c r="X257" s="98">
        <v>0.5</v>
      </c>
      <c r="Y257" s="98">
        <f>+IF(D257=0.667,-E257*F257*H257*W257*X257,0)</f>
        <v>2.7793890000000001</v>
      </c>
      <c r="Z257" s="98">
        <f>+IF(D257=0.333,-E257*F257*H257*W257*X257,0)</f>
        <v>0</v>
      </c>
      <c r="AA257" s="98">
        <f>+F257*G257*H257</f>
        <v>4.6690000000000005</v>
      </c>
      <c r="AB257" s="98">
        <f t="shared" ref="AB257:AB258" si="685">2*F257*W257*X257</f>
        <v>8.3339999999999996</v>
      </c>
      <c r="AC257" s="91"/>
      <c r="AD257" s="98"/>
      <c r="AE257" s="98">
        <f>+IF(D257=0.667,AD257*W257*H257*F257,0)</f>
        <v>0</v>
      </c>
      <c r="AF257" s="98">
        <f>+IF(D257=0.333,AD257*W257*H257*F257,0)</f>
        <v>0</v>
      </c>
      <c r="AG257" s="91"/>
      <c r="AH257" s="304"/>
      <c r="AI257" s="299">
        <f>+AH257*G257*D257*0.17</f>
        <v>0</v>
      </c>
      <c r="AK257" s="301">
        <f t="shared" si="684"/>
        <v>-7</v>
      </c>
      <c r="AL257" s="301">
        <f t="shared" si="672"/>
        <v>0</v>
      </c>
      <c r="AM257" s="301">
        <f>+IF(D257=0.667,1.33,0)</f>
        <v>1.33</v>
      </c>
      <c r="AN257" s="301"/>
      <c r="AO257" s="299"/>
      <c r="AP257" s="301"/>
      <c r="AQ257" s="301"/>
      <c r="AT257" s="28">
        <f t="shared" si="504"/>
        <v>-7</v>
      </c>
    </row>
    <row r="258" spans="2:46" s="28" customFormat="1" ht="20.100000000000001" customHeight="1" x14ac:dyDescent="0.3">
      <c r="B258" s="92"/>
      <c r="C258" s="95" t="s">
        <v>347</v>
      </c>
      <c r="D258" s="98">
        <v>0.66700000000000004</v>
      </c>
      <c r="E258" s="92">
        <v>-1</v>
      </c>
      <c r="F258" s="92">
        <v>1</v>
      </c>
      <c r="G258" s="555">
        <v>6</v>
      </c>
      <c r="H258" s="98">
        <f t="shared" ref="H258" si="686">+D258</f>
        <v>0.66700000000000004</v>
      </c>
      <c r="I258" s="94"/>
      <c r="J258" s="99"/>
      <c r="K258" s="100">
        <f t="shared" ref="K258" si="687">+IF(D258=0.667,E258*F258*G258*H258*J258,0)</f>
        <v>0</v>
      </c>
      <c r="L258" s="100">
        <f t="shared" ref="L258" si="688">+IF(D258=0.333,E258*F258*G258*J258,0)</f>
        <v>0</v>
      </c>
      <c r="M258" s="99">
        <v>4</v>
      </c>
      <c r="N258" s="100">
        <f t="shared" ref="N258" si="689">+IF(D258=0.667,E258*F258*G258*H258*M258,0)</f>
        <v>-16.008000000000003</v>
      </c>
      <c r="O258" s="100">
        <f t="shared" ref="O258" si="690">+IF(D258=0.333,E258*F258*G258*M258,0)</f>
        <v>0</v>
      </c>
      <c r="P258" s="81">
        <v>0</v>
      </c>
      <c r="Q258" s="100">
        <f t="shared" ref="Q258" si="691">+IF(D258=0.667,E258*F258*G258*H258*P258,0)</f>
        <v>0</v>
      </c>
      <c r="R258" s="100">
        <f t="shared" ref="R258" si="692">+IF(D258=0.333,E258*F258*G258*P258,0)</f>
        <v>0</v>
      </c>
      <c r="S258" s="101">
        <f t="shared" ref="S258" si="693">+Q258+N258+K258</f>
        <v>-16.008000000000003</v>
      </c>
      <c r="T258" s="101">
        <f t="shared" ref="T258" si="694">+R258+O258+L258</f>
        <v>0</v>
      </c>
      <c r="U258" s="92"/>
      <c r="V258" s="91"/>
      <c r="W258" s="102">
        <f>+G258+D258</f>
        <v>6.6669999999999998</v>
      </c>
      <c r="X258" s="98">
        <v>0.5</v>
      </c>
      <c r="Y258" s="102">
        <f>+IF(D258=0.667,-E258*F258*H258*W258*X258,0)</f>
        <v>2.2234445000000003</v>
      </c>
      <c r="Z258" s="98">
        <f>+IF(D258=0.333,-E258*F258*H258*W258*X258,0)</f>
        <v>0</v>
      </c>
      <c r="AA258" s="98">
        <f>+F258*G258*H258</f>
        <v>4.0020000000000007</v>
      </c>
      <c r="AB258" s="98">
        <f t="shared" si="685"/>
        <v>6.6669999999999998</v>
      </c>
      <c r="AC258" s="91"/>
      <c r="AD258" s="98">
        <v>0.16700000000000001</v>
      </c>
      <c r="AE258" s="98">
        <f t="shared" ref="AE258" si="695">+IF(D258=0.667,AD258*W258*H258*F258,0)</f>
        <v>0.74263046300000002</v>
      </c>
      <c r="AF258" s="98">
        <f t="shared" ref="AF258" si="696">+IF(D258=0.333,AD258*W258*H258*F258,0)</f>
        <v>0</v>
      </c>
      <c r="AG258" s="91"/>
      <c r="AH258" s="305"/>
      <c r="AI258" s="299">
        <f t="shared" ref="AI258" si="697">+AH258*G258*D258*0.17</f>
        <v>0</v>
      </c>
      <c r="AK258" s="301"/>
      <c r="AL258" s="301">
        <f t="shared" ref="AL258" si="698">+IF(D258=0.333,E258*F258*G258,0)</f>
        <v>0</v>
      </c>
      <c r="AM258" s="301"/>
      <c r="AN258" s="301"/>
      <c r="AO258" s="299"/>
      <c r="AP258" s="301"/>
      <c r="AQ258" s="301"/>
      <c r="AT258" s="28">
        <f t="shared" si="504"/>
        <v>-6</v>
      </c>
    </row>
    <row r="259" spans="2:46" s="28" customFormat="1" ht="20.100000000000001" customHeight="1" x14ac:dyDescent="0.3">
      <c r="B259" s="92"/>
      <c r="C259" s="95" t="s">
        <v>38</v>
      </c>
      <c r="D259" s="98">
        <v>0.66700000000000004</v>
      </c>
      <c r="E259" s="415">
        <f>1*0</f>
        <v>0</v>
      </c>
      <c r="F259" s="415">
        <f>1*0</f>
        <v>0</v>
      </c>
      <c r="G259" s="98">
        <f>(5.593+6.095)*3.281</f>
        <v>38.348327999999995</v>
      </c>
      <c r="H259" s="98">
        <f>+D259</f>
        <v>0.66700000000000004</v>
      </c>
      <c r="I259" s="94">
        <v>2</v>
      </c>
      <c r="J259" s="99">
        <v>3</v>
      </c>
      <c r="K259" s="100">
        <f>+IF(D259=0.667,E259*F259*G259*H259*J259,0)</f>
        <v>0</v>
      </c>
      <c r="L259" s="100">
        <f>+IF(D259=0.333,E259*F259*G259*J259,0)</f>
        <v>0</v>
      </c>
      <c r="M259" s="99">
        <v>4</v>
      </c>
      <c r="N259" s="100">
        <f>+IF(D259=0.667,E259*F259*G259*H259*M259,0)</f>
        <v>0</v>
      </c>
      <c r="O259" s="100">
        <f>+IF(D259=0.333,E259*F259*G259*M259,0)</f>
        <v>0</v>
      </c>
      <c r="P259" s="81">
        <f>11.833-I259-M259-J259</f>
        <v>2.8330000000000002</v>
      </c>
      <c r="Q259" s="100">
        <f>+IF(D259=0.667,E259*F259*G259*H259*P259,0)</f>
        <v>0</v>
      </c>
      <c r="R259" s="100">
        <f>+IF(D259=0.333,E259*F259*G259*P259,0)</f>
        <v>0</v>
      </c>
      <c r="S259" s="555"/>
      <c r="T259" s="101">
        <f t="shared" si="670"/>
        <v>0</v>
      </c>
      <c r="U259" s="92"/>
      <c r="V259" s="91"/>
      <c r="W259" s="102"/>
      <c r="X259" s="98"/>
      <c r="Y259" s="102"/>
      <c r="Z259" s="98"/>
      <c r="AA259" s="98"/>
      <c r="AB259" s="98"/>
      <c r="AC259" s="91"/>
      <c r="AD259" s="98"/>
      <c r="AE259" s="98"/>
      <c r="AF259" s="98"/>
      <c r="AG259" s="91"/>
      <c r="AH259" s="305">
        <v>1</v>
      </c>
      <c r="AI259" s="299">
        <f>+AH259*G259*D259*0.17</f>
        <v>4.3483169119200005</v>
      </c>
      <c r="AK259" s="301">
        <f t="shared" si="684"/>
        <v>0</v>
      </c>
      <c r="AL259" s="301">
        <f t="shared" si="672"/>
        <v>0</v>
      </c>
      <c r="AM259" s="301"/>
      <c r="AN259" s="301">
        <f>+IF(D259=0.333,1.33,0)</f>
        <v>0</v>
      </c>
      <c r="AO259" s="299"/>
      <c r="AP259" s="301"/>
      <c r="AQ259" s="301"/>
      <c r="AT259" s="28">
        <f t="shared" si="504"/>
        <v>0</v>
      </c>
    </row>
    <row r="260" spans="2:46" s="28" customFormat="1" ht="20.100000000000001" customHeight="1" x14ac:dyDescent="0.3">
      <c r="B260" s="369"/>
      <c r="C260" s="395"/>
      <c r="D260" s="371"/>
      <c r="E260" s="369"/>
      <c r="F260" s="369"/>
      <c r="G260" s="371"/>
      <c r="H260" s="371"/>
      <c r="I260" s="372"/>
      <c r="J260" s="371"/>
      <c r="K260" s="371"/>
      <c r="L260" s="371"/>
      <c r="M260" s="371"/>
      <c r="N260" s="371"/>
      <c r="O260" s="371"/>
      <c r="P260" s="371"/>
      <c r="Q260" s="371"/>
      <c r="R260" s="371"/>
      <c r="S260" s="371"/>
      <c r="T260" s="371"/>
      <c r="U260" s="369"/>
      <c r="V260" s="370"/>
      <c r="W260" s="372"/>
      <c r="X260" s="371"/>
      <c r="Y260" s="372"/>
      <c r="Z260" s="371"/>
      <c r="AA260" s="371"/>
      <c r="AB260" s="371"/>
      <c r="AC260" s="370"/>
      <c r="AD260" s="371"/>
      <c r="AE260" s="371"/>
      <c r="AF260" s="371"/>
      <c r="AG260" s="370"/>
      <c r="AH260" s="376"/>
      <c r="AI260" s="372"/>
      <c r="AK260" s="377"/>
      <c r="AL260" s="377"/>
      <c r="AM260" s="377"/>
      <c r="AN260" s="377"/>
      <c r="AO260" s="372"/>
      <c r="AP260" s="377"/>
      <c r="AQ260" s="377"/>
      <c r="AT260" s="28">
        <f t="shared" si="504"/>
        <v>0</v>
      </c>
    </row>
    <row r="261" spans="2:46" s="28" customFormat="1" ht="20.100000000000001" customHeight="1" x14ac:dyDescent="0.3">
      <c r="B261" s="369"/>
      <c r="C261" s="97" t="s">
        <v>398</v>
      </c>
      <c r="D261" s="371"/>
      <c r="E261" s="369"/>
      <c r="F261" s="369"/>
      <c r="G261" s="371"/>
      <c r="H261" s="371"/>
      <c r="I261" s="372"/>
      <c r="J261" s="371"/>
      <c r="K261" s="371"/>
      <c r="L261" s="371"/>
      <c r="M261" s="371"/>
      <c r="N261" s="371"/>
      <c r="O261" s="371"/>
      <c r="P261" s="371"/>
      <c r="Q261" s="371"/>
      <c r="R261" s="371"/>
      <c r="S261" s="371"/>
      <c r="T261" s="371"/>
      <c r="U261" s="369"/>
      <c r="V261" s="370"/>
      <c r="W261" s="372"/>
      <c r="X261" s="371"/>
      <c r="Y261" s="372"/>
      <c r="Z261" s="371"/>
      <c r="AA261" s="371"/>
      <c r="AB261" s="371"/>
      <c r="AC261" s="370"/>
      <c r="AD261" s="371"/>
      <c r="AE261" s="371"/>
      <c r="AF261" s="371"/>
      <c r="AG261" s="370"/>
      <c r="AH261" s="376"/>
      <c r="AI261" s="372"/>
      <c r="AK261" s="377"/>
      <c r="AL261" s="377"/>
      <c r="AM261" s="377"/>
      <c r="AN261" s="377"/>
      <c r="AO261" s="372"/>
      <c r="AP261" s="377"/>
      <c r="AQ261" s="377"/>
      <c r="AT261" s="28">
        <f t="shared" si="504"/>
        <v>0</v>
      </c>
    </row>
    <row r="262" spans="2:46" s="28" customFormat="1" ht="20.100000000000001" customHeight="1" x14ac:dyDescent="0.3">
      <c r="B262" s="92"/>
      <c r="C262" s="95" t="s">
        <v>32</v>
      </c>
      <c r="D262" s="98">
        <v>0.66700000000000004</v>
      </c>
      <c r="E262" s="92">
        <v>1</v>
      </c>
      <c r="F262" s="92">
        <v>1</v>
      </c>
      <c r="G262" s="555">
        <f>(2.449+7.567+1.21)*3.281</f>
        <v>36.832505999999995</v>
      </c>
      <c r="H262" s="98">
        <f>+D262</f>
        <v>0.66700000000000004</v>
      </c>
      <c r="I262" s="94">
        <v>2</v>
      </c>
      <c r="J262" s="99">
        <v>3</v>
      </c>
      <c r="K262" s="100">
        <f>+IF(D262=0.667,E262*F262*G262*H262*J262,0)</f>
        <v>73.701844505999986</v>
      </c>
      <c r="L262" s="100">
        <f>+IF(D262=0.333,E262*F262*G262*J262,0)</f>
        <v>0</v>
      </c>
      <c r="M262" s="99">
        <v>4</v>
      </c>
      <c r="N262" s="100">
        <f>+IF(D262=0.667,E262*F262*G262*H262*M262,0)</f>
        <v>98.269126007999986</v>
      </c>
      <c r="O262" s="100">
        <f>+IF(D262=0.333,E262*F262*G262*M262,0)</f>
        <v>0</v>
      </c>
      <c r="P262" s="81">
        <f>11.833-I262-M262-J262</f>
        <v>2.8330000000000002</v>
      </c>
      <c r="Q262" s="100">
        <f>+IF(D262=0.667,E262*F262*G262*H262*P262,0)</f>
        <v>69.599108495165993</v>
      </c>
      <c r="R262" s="100">
        <f>+IF(D262=0.333,E262*F262*G262*P262,0)</f>
        <v>0</v>
      </c>
      <c r="S262" s="101">
        <f t="shared" ref="S262:T265" si="699">+Q262+N262+K262</f>
        <v>241.57007900916597</v>
      </c>
      <c r="T262" s="101">
        <f t="shared" si="699"/>
        <v>0</v>
      </c>
      <c r="U262" s="92"/>
      <c r="V262" s="91"/>
      <c r="W262" s="102"/>
      <c r="X262" s="98"/>
      <c r="Y262" s="102"/>
      <c r="Z262" s="98"/>
      <c r="AA262" s="98"/>
      <c r="AB262" s="98"/>
      <c r="AC262" s="91"/>
      <c r="AD262" s="98"/>
      <c r="AE262" s="98"/>
      <c r="AF262" s="98"/>
      <c r="AG262" s="91"/>
      <c r="AH262" s="305">
        <v>1</v>
      </c>
      <c r="AI262" s="299">
        <f>+AH262*G262*D262*0.17</f>
        <v>4.1764378553399997</v>
      </c>
      <c r="AK262" s="301">
        <f t="shared" ref="AK262" si="700">+IF(D262=0.667,E262*F262*G262,0)</f>
        <v>36.832505999999995</v>
      </c>
      <c r="AL262" s="301">
        <f t="shared" ref="AL262:AL265" si="701">+IF(D262=0.333,E262*F262*G262,0)</f>
        <v>0</v>
      </c>
      <c r="AM262" s="301"/>
      <c r="AN262" s="301">
        <f>+IF(D262=0.333,1.33,0)</f>
        <v>0</v>
      </c>
      <c r="AO262" s="299"/>
      <c r="AP262" s="301"/>
      <c r="AQ262" s="301"/>
      <c r="AT262" s="28">
        <f t="shared" si="504"/>
        <v>36.832505999999995</v>
      </c>
    </row>
    <row r="263" spans="2:46" s="28" customFormat="1" ht="20.100000000000001" customHeight="1" x14ac:dyDescent="0.3">
      <c r="B263" s="92"/>
      <c r="C263" s="95" t="s">
        <v>347</v>
      </c>
      <c r="D263" s="98">
        <v>0.66700000000000004</v>
      </c>
      <c r="E263" s="92">
        <v>-1</v>
      </c>
      <c r="F263" s="92">
        <v>2</v>
      </c>
      <c r="G263" s="98">
        <v>6</v>
      </c>
      <c r="H263" s="98">
        <f t="shared" ref="H263" si="702">+D263</f>
        <v>0.66700000000000004</v>
      </c>
      <c r="I263" s="94"/>
      <c r="J263" s="99"/>
      <c r="K263" s="100">
        <f t="shared" ref="K263" si="703">+IF(D263=0.667,E263*F263*G263*H263*J263,0)</f>
        <v>0</v>
      </c>
      <c r="L263" s="100">
        <f t="shared" ref="L263" si="704">+IF(D263=0.333,E263*F263*G263*J263,0)</f>
        <v>0</v>
      </c>
      <c r="M263" s="99">
        <v>4</v>
      </c>
      <c r="N263" s="100">
        <f t="shared" ref="N263" si="705">+IF(D263=0.667,E263*F263*G263*H263*M263,0)</f>
        <v>-32.016000000000005</v>
      </c>
      <c r="O263" s="100">
        <f t="shared" ref="O263" si="706">+IF(D263=0.333,E263*F263*G263*M263,0)</f>
        <v>0</v>
      </c>
      <c r="P263" s="81">
        <v>0</v>
      </c>
      <c r="Q263" s="100">
        <f t="shared" ref="Q263" si="707">+IF(D263=0.667,E263*F263*G263*H263*P263,0)</f>
        <v>0</v>
      </c>
      <c r="R263" s="100">
        <f t="shared" ref="R263" si="708">+IF(D263=0.333,E263*F263*G263*P263,0)</f>
        <v>0</v>
      </c>
      <c r="S263" s="101">
        <f t="shared" si="699"/>
        <v>-32.016000000000005</v>
      </c>
      <c r="T263" s="101">
        <f t="shared" si="699"/>
        <v>0</v>
      </c>
      <c r="U263" s="92"/>
      <c r="V263" s="91"/>
      <c r="W263" s="102">
        <f>+G263+D263</f>
        <v>6.6669999999999998</v>
      </c>
      <c r="X263" s="98">
        <v>0.5</v>
      </c>
      <c r="Y263" s="102">
        <f>+IF(D263=0.667,-E263*F263*H263*W263*X263,0)</f>
        <v>4.4468890000000005</v>
      </c>
      <c r="Z263" s="98">
        <f>+IF(D263=0.333,-E263*F263*H263*W263*X263,0)</f>
        <v>0</v>
      </c>
      <c r="AA263" s="98">
        <f>+F263*G263*H263</f>
        <v>8.0040000000000013</v>
      </c>
      <c r="AB263" s="98">
        <f t="shared" ref="AB263" si="709">2*F263*W263*X263</f>
        <v>13.334</v>
      </c>
      <c r="AC263" s="91"/>
      <c r="AD263" s="98">
        <v>0.16700000000000001</v>
      </c>
      <c r="AE263" s="98">
        <f t="shared" ref="AE263" si="710">+IF(D263=0.667,AD263*W263*H263*F263,0)</f>
        <v>1.485260926</v>
      </c>
      <c r="AF263" s="98">
        <f t="shared" ref="AF263" si="711">+IF(D263=0.333,AD263*W263*H263*F263,0)</f>
        <v>0</v>
      </c>
      <c r="AG263" s="91"/>
      <c r="AH263" s="305"/>
      <c r="AI263" s="299">
        <f t="shared" ref="AI263" si="712">+AH263*G263*D263*0.17</f>
        <v>0</v>
      </c>
      <c r="AK263" s="301"/>
      <c r="AL263" s="301">
        <f t="shared" si="701"/>
        <v>0</v>
      </c>
      <c r="AM263" s="301"/>
      <c r="AN263" s="301"/>
      <c r="AO263" s="299"/>
      <c r="AP263" s="301"/>
      <c r="AQ263" s="301"/>
      <c r="AT263" s="28">
        <f t="shared" si="504"/>
        <v>-12</v>
      </c>
    </row>
    <row r="264" spans="2:46" s="28" customFormat="1" ht="20.100000000000001" customHeight="1" x14ac:dyDescent="0.3">
      <c r="B264" s="92"/>
      <c r="C264" s="95" t="s">
        <v>38</v>
      </c>
      <c r="D264" s="98">
        <v>0.66700000000000004</v>
      </c>
      <c r="E264" s="415">
        <f>1*0</f>
        <v>0</v>
      </c>
      <c r="F264" s="415">
        <f>1*0</f>
        <v>0</v>
      </c>
      <c r="G264" s="98">
        <f>(13.15)*3.281</f>
        <v>43.145150000000001</v>
      </c>
      <c r="H264" s="98">
        <f>+D264</f>
        <v>0.66700000000000004</v>
      </c>
      <c r="I264" s="94">
        <v>2</v>
      </c>
      <c r="J264" s="99">
        <v>3</v>
      </c>
      <c r="K264" s="100">
        <f>+IF(D264=0.667,E264*F264*G264*H264*J264,0)</f>
        <v>0</v>
      </c>
      <c r="L264" s="100">
        <f>+IF(D264=0.333,E264*F264*G264*J264,0)</f>
        <v>0</v>
      </c>
      <c r="M264" s="99">
        <v>4</v>
      </c>
      <c r="N264" s="100">
        <f>+IF(D264=0.667,E264*F264*G264*H264*M264,0)</f>
        <v>0</v>
      </c>
      <c r="O264" s="100">
        <f>+IF(D264=0.333,E264*F264*G264*M264,0)</f>
        <v>0</v>
      </c>
      <c r="P264" s="81">
        <f>11.833-I264-M264-J264</f>
        <v>2.8330000000000002</v>
      </c>
      <c r="Q264" s="100">
        <f>+IF(D264=0.667,E264*F264*G264*H264*P264,0)</f>
        <v>0</v>
      </c>
      <c r="R264" s="100">
        <f>+IF(D264=0.333,E264*F264*G264*P264,0)</f>
        <v>0</v>
      </c>
      <c r="S264" s="555"/>
      <c r="T264" s="101">
        <f t="shared" si="699"/>
        <v>0</v>
      </c>
      <c r="U264" s="92"/>
      <c r="V264" s="91"/>
      <c r="W264" s="102"/>
      <c r="X264" s="98"/>
      <c r="Y264" s="102"/>
      <c r="Z264" s="98"/>
      <c r="AA264" s="98"/>
      <c r="AB264" s="98"/>
      <c r="AC264" s="91"/>
      <c r="AD264" s="98"/>
      <c r="AE264" s="98"/>
      <c r="AF264" s="98"/>
      <c r="AG264" s="91"/>
      <c r="AH264" s="305">
        <v>1</v>
      </c>
      <c r="AI264" s="299">
        <f>+AH264*G264*D264*0.17</f>
        <v>4.8922285585000003</v>
      </c>
      <c r="AK264" s="301">
        <f t="shared" ref="AK264:AK265" si="713">+IF(D264=0.667,E264*F264*G264,0)</f>
        <v>0</v>
      </c>
      <c r="AL264" s="301">
        <f t="shared" si="701"/>
        <v>0</v>
      </c>
      <c r="AM264" s="301"/>
      <c r="AN264" s="301">
        <f>+IF(D264=0.333,1.33,0)</f>
        <v>0</v>
      </c>
      <c r="AO264" s="299"/>
      <c r="AP264" s="301"/>
      <c r="AQ264" s="301"/>
      <c r="AT264" s="28">
        <f t="shared" ref="AT264:AT271" si="714">+E264*F264*G264</f>
        <v>0</v>
      </c>
    </row>
    <row r="265" spans="2:46" s="28" customFormat="1" ht="20.100000000000001" customHeight="1" x14ac:dyDescent="0.3">
      <c r="B265" s="92"/>
      <c r="C265" s="95" t="s">
        <v>335</v>
      </c>
      <c r="D265" s="98">
        <v>0.66700000000000004</v>
      </c>
      <c r="E265" s="415">
        <f>-1*0</f>
        <v>0</v>
      </c>
      <c r="F265" s="415">
        <f>1*0</f>
        <v>0</v>
      </c>
      <c r="G265" s="98">
        <f>3.5+3.5</f>
        <v>7</v>
      </c>
      <c r="H265" s="98">
        <f>+D265</f>
        <v>0.66700000000000004</v>
      </c>
      <c r="I265" s="102"/>
      <c r="J265" s="99">
        <v>3</v>
      </c>
      <c r="K265" s="100">
        <f>+IF(D265=0.667,E265*F265*G265*H265*J265,0)</f>
        <v>0</v>
      </c>
      <c r="L265" s="100">
        <f>+IF(D265=0.333,E265*F265*G265*J265,0)</f>
        <v>0</v>
      </c>
      <c r="M265" s="99">
        <v>4</v>
      </c>
      <c r="N265" s="100">
        <f>+IF(D265=0.667,E265*F265*G265*H265*M265,0)</f>
        <v>0</v>
      </c>
      <c r="O265" s="100">
        <f>+IF(D265=0.333,E265*F265*G265*M265,0)</f>
        <v>0</v>
      </c>
      <c r="P265" s="99">
        <v>0.5</v>
      </c>
      <c r="Q265" s="100">
        <f>+IF(D265=0.667,E265*F265*G265*H265*P265,0)</f>
        <v>0</v>
      </c>
      <c r="R265" s="100">
        <f>+IF(D265=0.333,E265*F265*G265*P265,0)</f>
        <v>0</v>
      </c>
      <c r="S265" s="555"/>
      <c r="T265" s="101">
        <f t="shared" si="699"/>
        <v>0</v>
      </c>
      <c r="U265" s="92"/>
      <c r="V265" s="91"/>
      <c r="W265" s="98">
        <f>+G265+D265*2</f>
        <v>8.3339999999999996</v>
      </c>
      <c r="X265" s="98">
        <v>0.5</v>
      </c>
      <c r="Y265" s="98">
        <f>+IF(D265=0.667,-E265*F265*H265*W265*X265,0)</f>
        <v>0</v>
      </c>
      <c r="Z265" s="98">
        <f>+IF(D265=0.333,-E265*F265*H265*W265*X265,0)</f>
        <v>0</v>
      </c>
      <c r="AA265" s="98">
        <f>+F265*G265*H265</f>
        <v>0</v>
      </c>
      <c r="AB265" s="98">
        <f t="shared" ref="AB265" si="715">2*F265*W265*X265</f>
        <v>0</v>
      </c>
      <c r="AC265" s="91"/>
      <c r="AD265" s="98"/>
      <c r="AE265" s="98">
        <f>+IF(D265=0.667,AD265*W265*H265*F265,0)</f>
        <v>0</v>
      </c>
      <c r="AF265" s="98">
        <f>+IF(D265=0.333,AD265*W265*H265*F265,0)</f>
        <v>0</v>
      </c>
      <c r="AG265" s="91"/>
      <c r="AH265" s="304"/>
      <c r="AI265" s="299">
        <f>+AH265*G265*D265*0.17</f>
        <v>0</v>
      </c>
      <c r="AK265" s="301">
        <f t="shared" si="713"/>
        <v>0</v>
      </c>
      <c r="AL265" s="301">
        <f t="shared" si="701"/>
        <v>0</v>
      </c>
      <c r="AM265" s="301">
        <f>+IF(D265=0.667,1.33,0)*0</f>
        <v>0</v>
      </c>
      <c r="AN265" s="301"/>
      <c r="AO265" s="299"/>
      <c r="AP265" s="301"/>
      <c r="AQ265" s="301"/>
      <c r="AT265" s="28">
        <f t="shared" si="714"/>
        <v>0</v>
      </c>
    </row>
    <row r="266" spans="2:46" s="28" customFormat="1" ht="20.100000000000001" customHeight="1" x14ac:dyDescent="0.3">
      <c r="B266" s="369"/>
      <c r="C266" s="395"/>
      <c r="D266" s="371"/>
      <c r="E266" s="369"/>
      <c r="F266" s="369"/>
      <c r="G266" s="371"/>
      <c r="H266" s="371"/>
      <c r="I266" s="372"/>
      <c r="J266" s="371"/>
      <c r="K266" s="371"/>
      <c r="L266" s="371"/>
      <c r="M266" s="371"/>
      <c r="N266" s="371"/>
      <c r="O266" s="371"/>
      <c r="P266" s="371"/>
      <c r="Q266" s="371"/>
      <c r="R266" s="371"/>
      <c r="S266" s="371"/>
      <c r="T266" s="371"/>
      <c r="U266" s="369"/>
      <c r="V266" s="370"/>
      <c r="W266" s="372"/>
      <c r="X266" s="371"/>
      <c r="Y266" s="372"/>
      <c r="Z266" s="371"/>
      <c r="AA266" s="371"/>
      <c r="AB266" s="371"/>
      <c r="AC266" s="370"/>
      <c r="AD266" s="371"/>
      <c r="AE266" s="371"/>
      <c r="AF266" s="371"/>
      <c r="AG266" s="370"/>
      <c r="AH266" s="376"/>
      <c r="AI266" s="372"/>
      <c r="AK266" s="377"/>
      <c r="AL266" s="377"/>
      <c r="AM266" s="377"/>
      <c r="AN266" s="377"/>
      <c r="AO266" s="372"/>
      <c r="AP266" s="377"/>
      <c r="AQ266" s="377"/>
      <c r="AT266" s="28">
        <f t="shared" si="714"/>
        <v>0</v>
      </c>
    </row>
    <row r="267" spans="2:46" s="28" customFormat="1" ht="20.100000000000001" customHeight="1" x14ac:dyDescent="0.3">
      <c r="B267" s="369"/>
      <c r="C267" s="97" t="s">
        <v>399</v>
      </c>
      <c r="D267" s="371"/>
      <c r="E267" s="369"/>
      <c r="F267" s="369"/>
      <c r="G267" s="371"/>
      <c r="H267" s="371"/>
      <c r="I267" s="372"/>
      <c r="J267" s="371"/>
      <c r="K267" s="371"/>
      <c r="L267" s="371"/>
      <c r="M267" s="371"/>
      <c r="N267" s="371"/>
      <c r="O267" s="371"/>
      <c r="P267" s="371"/>
      <c r="Q267" s="371"/>
      <c r="R267" s="371"/>
      <c r="S267" s="371"/>
      <c r="T267" s="371"/>
      <c r="U267" s="369"/>
      <c r="V267" s="370"/>
      <c r="W267" s="372"/>
      <c r="X267" s="371"/>
      <c r="Y267" s="372"/>
      <c r="Z267" s="371"/>
      <c r="AA267" s="371"/>
      <c r="AB267" s="371"/>
      <c r="AC267" s="370"/>
      <c r="AD267" s="371"/>
      <c r="AE267" s="371"/>
      <c r="AF267" s="371"/>
      <c r="AG267" s="370"/>
      <c r="AH267" s="376"/>
      <c r="AI267" s="372"/>
      <c r="AK267" s="377"/>
      <c r="AL267" s="377"/>
      <c r="AM267" s="377"/>
      <c r="AN267" s="377"/>
      <c r="AO267" s="372"/>
      <c r="AP267" s="377"/>
      <c r="AQ267" s="377"/>
      <c r="AT267" s="28">
        <f t="shared" si="714"/>
        <v>0</v>
      </c>
    </row>
    <row r="268" spans="2:46" s="28" customFormat="1" ht="20.100000000000001" customHeight="1" x14ac:dyDescent="0.3">
      <c r="B268" s="92"/>
      <c r="C268" s="95" t="s">
        <v>33</v>
      </c>
      <c r="D268" s="98">
        <v>0.66700000000000004</v>
      </c>
      <c r="E268" s="415">
        <f>1*0</f>
        <v>0</v>
      </c>
      <c r="F268" s="415">
        <f>1*0</f>
        <v>0</v>
      </c>
      <c r="G268" s="98">
        <f>(14.29)*3.281</f>
        <v>46.885489999999997</v>
      </c>
      <c r="H268" s="98">
        <f>+D268</f>
        <v>0.66700000000000004</v>
      </c>
      <c r="I268" s="94">
        <v>2</v>
      </c>
      <c r="J268" s="99">
        <v>3</v>
      </c>
      <c r="K268" s="100">
        <f>+IF(D268=0.667,E268*F268*G268*H268*J268,0)</f>
        <v>0</v>
      </c>
      <c r="L268" s="100">
        <f>+IF(D268=0.333,E268*F268*G268*J268,0)</f>
        <v>0</v>
      </c>
      <c r="M268" s="99">
        <v>4</v>
      </c>
      <c r="N268" s="100">
        <f>+IF(D268=0.667,E268*F268*G268*H268*M268,0)</f>
        <v>0</v>
      </c>
      <c r="O268" s="100">
        <f>+IF(D268=0.333,E268*F268*G268*M268,0)</f>
        <v>0</v>
      </c>
      <c r="P268" s="81">
        <f>11.833-I268-M268-J268</f>
        <v>2.8330000000000002</v>
      </c>
      <c r="Q268" s="100">
        <f>+IF(D268=0.667,E268*F268*G268*H268*P268,0)</f>
        <v>0</v>
      </c>
      <c r="R268" s="100">
        <f>+IF(D268=0.333,E268*F268*G268*P268,0)</f>
        <v>0</v>
      </c>
      <c r="S268" s="555"/>
      <c r="T268" s="101">
        <f t="shared" ref="S268:T271" si="716">+R268+O268+L268</f>
        <v>0</v>
      </c>
      <c r="U268" s="92"/>
      <c r="V268" s="91"/>
      <c r="W268" s="102"/>
      <c r="X268" s="98"/>
      <c r="Y268" s="102"/>
      <c r="Z268" s="98"/>
      <c r="AA268" s="98"/>
      <c r="AB268" s="98"/>
      <c r="AC268" s="91"/>
      <c r="AD268" s="98"/>
      <c r="AE268" s="98"/>
      <c r="AF268" s="98"/>
      <c r="AG268" s="91"/>
      <c r="AH268" s="305">
        <v>1</v>
      </c>
      <c r="AI268" s="299">
        <f>+AH268*G268*D268*0.17</f>
        <v>5.3163457111000003</v>
      </c>
      <c r="AK268" s="301">
        <f t="shared" ref="AK268:AK270" si="717">+IF(D268=0.667,E268*F268*G268,0)</f>
        <v>0</v>
      </c>
      <c r="AL268" s="301">
        <f t="shared" ref="AL268:AL271" si="718">+IF(D268=0.333,E268*F268*G268,0)</f>
        <v>0</v>
      </c>
      <c r="AM268" s="301"/>
      <c r="AN268" s="301">
        <f>+IF(D268=0.333,1.33,0)</f>
        <v>0</v>
      </c>
      <c r="AO268" s="299"/>
      <c r="AP268" s="301"/>
      <c r="AQ268" s="301"/>
      <c r="AT268" s="28">
        <f t="shared" si="714"/>
        <v>0</v>
      </c>
    </row>
    <row r="269" spans="2:46" s="28" customFormat="1" ht="20.100000000000001" customHeight="1" x14ac:dyDescent="0.3">
      <c r="B269" s="92"/>
      <c r="C269" s="95" t="s">
        <v>335</v>
      </c>
      <c r="D269" s="98">
        <v>0.66700000000000004</v>
      </c>
      <c r="E269" s="415">
        <f>-1*0</f>
        <v>0</v>
      </c>
      <c r="F269" s="415">
        <f>1*0</f>
        <v>0</v>
      </c>
      <c r="G269" s="98">
        <f>3.5+3.5</f>
        <v>7</v>
      </c>
      <c r="H269" s="98">
        <f>+D269</f>
        <v>0.66700000000000004</v>
      </c>
      <c r="I269" s="102"/>
      <c r="J269" s="99">
        <v>3</v>
      </c>
      <c r="K269" s="100">
        <f>+IF(D269=0.667,E269*F269*G269*H269*J269,0)</f>
        <v>0</v>
      </c>
      <c r="L269" s="100">
        <f>+IF(D269=0.333,E269*F269*G269*J269,0)</f>
        <v>0</v>
      </c>
      <c r="M269" s="99">
        <v>4</v>
      </c>
      <c r="N269" s="100">
        <f>+IF(D269=0.667,E269*F269*G269*H269*M269,0)</f>
        <v>0</v>
      </c>
      <c r="O269" s="100">
        <f>+IF(D269=0.333,E269*F269*G269*M269,0)</f>
        <v>0</v>
      </c>
      <c r="P269" s="99">
        <v>0.5</v>
      </c>
      <c r="Q269" s="100">
        <f>+IF(D269=0.667,E269*F269*G269*H269*P269,0)</f>
        <v>0</v>
      </c>
      <c r="R269" s="100">
        <f>+IF(D269=0.333,E269*F269*G269*P269,0)</f>
        <v>0</v>
      </c>
      <c r="S269" s="555"/>
      <c r="T269" s="101">
        <f t="shared" si="716"/>
        <v>0</v>
      </c>
      <c r="U269" s="92"/>
      <c r="V269" s="91"/>
      <c r="W269" s="98">
        <f>+G269+D269*2</f>
        <v>8.3339999999999996</v>
      </c>
      <c r="X269" s="98">
        <v>0.5</v>
      </c>
      <c r="Y269" s="98">
        <f>+IF(D269=0.667,-E269*F269*H269*W269*X269,0)</f>
        <v>0</v>
      </c>
      <c r="Z269" s="98">
        <f>+IF(D269=0.333,-E269*F269*H269*W269*X269,0)</f>
        <v>0</v>
      </c>
      <c r="AA269" s="98">
        <f>+F269*G269*H269</f>
        <v>0</v>
      </c>
      <c r="AB269" s="98">
        <f t="shared" ref="AB269" si="719">2*F269*W269*X269</f>
        <v>0</v>
      </c>
      <c r="AC269" s="91"/>
      <c r="AD269" s="98"/>
      <c r="AE269" s="98">
        <f>+IF(D269=0.667,AD269*W269*H269*F269,0)</f>
        <v>0</v>
      </c>
      <c r="AF269" s="98">
        <f>+IF(D269=0.333,AD269*W269*H269*F269,0)</f>
        <v>0</v>
      </c>
      <c r="AG269" s="91"/>
      <c r="AH269" s="304"/>
      <c r="AI269" s="299">
        <f>+AH269*G269*D269*0.17</f>
        <v>0</v>
      </c>
      <c r="AK269" s="301">
        <f t="shared" si="717"/>
        <v>0</v>
      </c>
      <c r="AL269" s="301">
        <f t="shared" si="718"/>
        <v>0</v>
      </c>
      <c r="AM269" s="301">
        <f>+IF(D269=0.667,1.33,0)*0</f>
        <v>0</v>
      </c>
      <c r="AN269" s="301"/>
      <c r="AO269" s="299"/>
      <c r="AP269" s="301"/>
      <c r="AQ269" s="301"/>
      <c r="AT269" s="28">
        <f t="shared" si="714"/>
        <v>0</v>
      </c>
    </row>
    <row r="270" spans="2:46" s="28" customFormat="1" ht="20.100000000000001" customHeight="1" x14ac:dyDescent="0.3">
      <c r="B270" s="92"/>
      <c r="C270" s="95" t="s">
        <v>32</v>
      </c>
      <c r="D270" s="98">
        <v>0.66700000000000004</v>
      </c>
      <c r="E270" s="92">
        <v>1</v>
      </c>
      <c r="F270" s="92">
        <v>1</v>
      </c>
      <c r="G270" s="555">
        <f>(7.74+5.051)*3.281</f>
        <v>41.967271000000004</v>
      </c>
      <c r="H270" s="98">
        <f>+D270</f>
        <v>0.66700000000000004</v>
      </c>
      <c r="I270" s="94">
        <v>2</v>
      </c>
      <c r="J270" s="99">
        <v>3</v>
      </c>
      <c r="K270" s="100">
        <f>+IF(D270=0.667,E270*F270*G270*H270*J270,0)</f>
        <v>83.976509271000012</v>
      </c>
      <c r="L270" s="100">
        <f>+IF(D270=0.333,E270*F270*G270*J270,0)</f>
        <v>0</v>
      </c>
      <c r="M270" s="99">
        <v>4</v>
      </c>
      <c r="N270" s="100">
        <f>+IF(D270=0.667,E270*F270*G270*H270*M270,0)</f>
        <v>111.96867902800001</v>
      </c>
      <c r="O270" s="100">
        <f>+IF(D270=0.333,E270*F270*G270*M270,0)</f>
        <v>0</v>
      </c>
      <c r="P270" s="81">
        <f>11.833-I270-M270-J270</f>
        <v>2.8330000000000002</v>
      </c>
      <c r="Q270" s="100">
        <f>+IF(D270=0.667,E270*F270*G270*H270*P270,0)</f>
        <v>79.301816921581008</v>
      </c>
      <c r="R270" s="100">
        <f>+IF(D270=0.333,E270*F270*G270*P270,0)</f>
        <v>0</v>
      </c>
      <c r="S270" s="101">
        <f t="shared" si="716"/>
        <v>275.247005220581</v>
      </c>
      <c r="T270" s="101">
        <f t="shared" si="716"/>
        <v>0</v>
      </c>
      <c r="U270" s="92"/>
      <c r="V270" s="91"/>
      <c r="W270" s="102"/>
      <c r="X270" s="98"/>
      <c r="Y270" s="102"/>
      <c r="Z270" s="98"/>
      <c r="AA270" s="98"/>
      <c r="AB270" s="98"/>
      <c r="AC270" s="91"/>
      <c r="AD270" s="98"/>
      <c r="AE270" s="98"/>
      <c r="AF270" s="98"/>
      <c r="AG270" s="91"/>
      <c r="AH270" s="305">
        <v>1</v>
      </c>
      <c r="AI270" s="299">
        <f>+AH270*G270*D270*0.17</f>
        <v>4.758668858690001</v>
      </c>
      <c r="AK270" s="301">
        <f t="shared" si="717"/>
        <v>41.967271000000004</v>
      </c>
      <c r="AL270" s="301">
        <f t="shared" si="718"/>
        <v>0</v>
      </c>
      <c r="AM270" s="301"/>
      <c r="AN270" s="301">
        <f>+IF(D270=0.333,1.33,0)</f>
        <v>0</v>
      </c>
      <c r="AO270" s="299"/>
      <c r="AP270" s="301"/>
      <c r="AQ270" s="301"/>
      <c r="AT270" s="28">
        <f t="shared" si="714"/>
        <v>41.967271000000004</v>
      </c>
    </row>
    <row r="271" spans="2:46" s="28" customFormat="1" ht="20.100000000000001" customHeight="1" x14ac:dyDescent="0.3">
      <c r="B271" s="92"/>
      <c r="C271" s="95" t="s">
        <v>347</v>
      </c>
      <c r="D271" s="98">
        <v>0.66700000000000004</v>
      </c>
      <c r="E271" s="92">
        <v>-1</v>
      </c>
      <c r="F271" s="92">
        <v>3</v>
      </c>
      <c r="G271" s="555">
        <v>6</v>
      </c>
      <c r="H271" s="98">
        <f t="shared" ref="H271" si="720">+D271</f>
        <v>0.66700000000000004</v>
      </c>
      <c r="I271" s="94"/>
      <c r="J271" s="99"/>
      <c r="K271" s="100">
        <f t="shared" ref="K271" si="721">+IF(D271=0.667,E271*F271*G271*H271*J271,0)</f>
        <v>0</v>
      </c>
      <c r="L271" s="100">
        <f t="shared" ref="L271" si="722">+IF(D271=0.333,E271*F271*G271*J271,0)</f>
        <v>0</v>
      </c>
      <c r="M271" s="99">
        <v>4</v>
      </c>
      <c r="N271" s="100">
        <f t="shared" ref="N271" si="723">+IF(D271=0.667,E271*F271*G271*H271*M271,0)</f>
        <v>-48.024000000000001</v>
      </c>
      <c r="O271" s="100">
        <f t="shared" ref="O271" si="724">+IF(D271=0.333,E271*F271*G271*M271,0)</f>
        <v>0</v>
      </c>
      <c r="P271" s="81">
        <v>0</v>
      </c>
      <c r="Q271" s="100">
        <f t="shared" ref="Q271" si="725">+IF(D271=0.667,E271*F271*G271*H271*P271,0)</f>
        <v>0</v>
      </c>
      <c r="R271" s="100">
        <f t="shared" ref="R271" si="726">+IF(D271=0.333,E271*F271*G271*P271,0)</f>
        <v>0</v>
      </c>
      <c r="S271" s="101">
        <f t="shared" si="716"/>
        <v>-48.024000000000001</v>
      </c>
      <c r="T271" s="101">
        <f t="shared" si="716"/>
        <v>0</v>
      </c>
      <c r="U271" s="92"/>
      <c r="V271" s="91"/>
      <c r="W271" s="102">
        <f>+G271+D271</f>
        <v>6.6669999999999998</v>
      </c>
      <c r="X271" s="98">
        <v>0.5</v>
      </c>
      <c r="Y271" s="102">
        <f>+IF(D271=0.667,-E271*F271*H271*W271*X271,0)</f>
        <v>6.6703335000000008</v>
      </c>
      <c r="Z271" s="98">
        <f>+IF(D271=0.333,-E271*F271*H271*W271*X271,0)</f>
        <v>0</v>
      </c>
      <c r="AA271" s="98">
        <f>+F271*G271*H271</f>
        <v>12.006</v>
      </c>
      <c r="AB271" s="98">
        <f t="shared" ref="AB271" si="727">2*F271*W271*X271</f>
        <v>20.000999999999998</v>
      </c>
      <c r="AC271" s="91"/>
      <c r="AD271" s="98">
        <v>0.16700000000000001</v>
      </c>
      <c r="AE271" s="98">
        <f t="shared" ref="AE271" si="728">+IF(D271=0.667,AD271*W271*H271*F271,0)</f>
        <v>2.2278913889999998</v>
      </c>
      <c r="AF271" s="98">
        <f t="shared" ref="AF271" si="729">+IF(D271=0.333,AD271*W271*H271*F271,0)</f>
        <v>0</v>
      </c>
      <c r="AG271" s="91"/>
      <c r="AH271" s="305"/>
      <c r="AI271" s="299">
        <f t="shared" ref="AI271" si="730">+AH271*G271*D271*0.17</f>
        <v>0</v>
      </c>
      <c r="AK271" s="301"/>
      <c r="AL271" s="301">
        <f t="shared" si="718"/>
        <v>0</v>
      </c>
      <c r="AM271" s="301"/>
      <c r="AN271" s="301"/>
      <c r="AO271" s="299"/>
      <c r="AP271" s="301"/>
      <c r="AQ271" s="301"/>
      <c r="AT271" s="28">
        <f t="shared" si="714"/>
        <v>-18</v>
      </c>
    </row>
    <row r="272" spans="2:46" ht="19.5" customHeight="1" x14ac:dyDescent="0.3">
      <c r="B272" s="10"/>
      <c r="C272" s="17"/>
      <c r="D272" s="309"/>
      <c r="E272" s="10"/>
      <c r="F272" s="10"/>
      <c r="G272" s="15"/>
      <c r="H272" s="15"/>
      <c r="I272" s="63"/>
      <c r="J272" s="13"/>
      <c r="K272" s="12"/>
      <c r="L272" s="12"/>
      <c r="M272" s="13"/>
      <c r="N272" s="12"/>
      <c r="O272" s="12"/>
      <c r="P272" s="13"/>
      <c r="Q272" s="12"/>
      <c r="R272" s="12"/>
      <c r="S272" s="14"/>
      <c r="T272" s="14"/>
      <c r="U272" s="10"/>
      <c r="V272" s="8"/>
      <c r="W272" s="11"/>
      <c r="X272" s="11"/>
      <c r="Y272" s="11"/>
      <c r="Z272" s="11"/>
      <c r="AA272" s="11"/>
      <c r="AB272" s="11"/>
      <c r="AC272" s="9"/>
      <c r="AD272" s="11"/>
      <c r="AE272" s="11"/>
      <c r="AF272" s="11"/>
      <c r="AG272" s="9"/>
      <c r="AH272" s="16"/>
      <c r="AI272" s="11"/>
      <c r="AK272" s="315"/>
      <c r="AL272" s="315"/>
      <c r="AM272" s="315"/>
      <c r="AN272" s="315"/>
      <c r="AO272" s="311"/>
      <c r="AP272" s="315"/>
      <c r="AQ272" s="315"/>
    </row>
    <row r="273" spans="2:46" s="28" customFormat="1" ht="20.100000000000001" customHeight="1" x14ac:dyDescent="0.3">
      <c r="B273" s="18"/>
      <c r="C273" s="19" t="s">
        <v>24</v>
      </c>
      <c r="D273" s="298"/>
      <c r="E273" s="18"/>
      <c r="F273" s="18"/>
      <c r="G273" s="20"/>
      <c r="H273" s="20"/>
      <c r="I273" s="21"/>
      <c r="J273" s="81"/>
      <c r="K273" s="23">
        <f>SUM(K7:K272)</f>
        <v>2932.5517070819997</v>
      </c>
      <c r="L273" s="23">
        <f>SUM(L7:L272)</f>
        <v>101.06249400000002</v>
      </c>
      <c r="M273" s="24"/>
      <c r="N273" s="23">
        <f>SUM(N7:N272)</f>
        <v>3127.4179328360024</v>
      </c>
      <c r="O273" s="23">
        <f>SUM(O7:O272)</f>
        <v>134.74999200000002</v>
      </c>
      <c r="P273" s="24"/>
      <c r="Q273" s="23">
        <f>SUM(Q7:Q272)</f>
        <v>2968.6064637851678</v>
      </c>
      <c r="R273" s="23">
        <f>SUM(R7:R272)</f>
        <v>123.11268083400002</v>
      </c>
      <c r="S273" s="23">
        <f>SUM(S7:S272)</f>
        <v>9028.5761037031698</v>
      </c>
      <c r="T273" s="23">
        <f>SUM(T7:T272)</f>
        <v>358.92516683400004</v>
      </c>
      <c r="U273" s="18"/>
      <c r="V273" s="26"/>
      <c r="W273" s="21"/>
      <c r="X273" s="21"/>
      <c r="Y273" s="23">
        <f>SUM(Y7:Y272)</f>
        <v>143.91921331149999</v>
      </c>
      <c r="Z273" s="25">
        <f>SUM(Z7:Z272)</f>
        <v>0.59656950000000009</v>
      </c>
      <c r="AA273" s="23">
        <f>SUM(AA7:AA272)</f>
        <v>256.88866862300011</v>
      </c>
      <c r="AB273" s="23">
        <f>SUM(AB7:AB272)</f>
        <v>435.12486899999976</v>
      </c>
      <c r="AC273" s="27"/>
      <c r="AD273" s="21"/>
      <c r="AE273" s="25">
        <f>SUM(AE7:AE272)</f>
        <v>34.123908760999996</v>
      </c>
      <c r="AF273" s="25">
        <f>SUM(AF7:AF272)</f>
        <v>0</v>
      </c>
      <c r="AG273" s="27"/>
      <c r="AH273" s="21"/>
      <c r="AI273" s="25">
        <f>SUM(AI7:AI272)</f>
        <v>440.07932577457018</v>
      </c>
      <c r="AK273" s="302">
        <f t="shared" ref="AK273:AQ273" si="731">SUM(AK7:AK272)</f>
        <v>1423.3285350000001</v>
      </c>
      <c r="AL273" s="302">
        <f t="shared" si="731"/>
        <v>33.687498000000005</v>
      </c>
      <c r="AM273" s="302">
        <f t="shared" si="731"/>
        <v>17.29</v>
      </c>
      <c r="AN273" s="302">
        <f t="shared" si="731"/>
        <v>1.33</v>
      </c>
      <c r="AO273" s="302">
        <f t="shared" si="731"/>
        <v>0</v>
      </c>
      <c r="AP273" s="302">
        <f t="shared" si="731"/>
        <v>804.98581437597431</v>
      </c>
      <c r="AQ273" s="302">
        <f t="shared" si="731"/>
        <v>0</v>
      </c>
      <c r="AT273" s="23">
        <f>SUM(AT7:AT272)</f>
        <v>1286.1587499999996</v>
      </c>
    </row>
    <row r="274" spans="2:46" ht="19.5" customHeight="1" x14ac:dyDescent="0.3">
      <c r="B274" s="29"/>
      <c r="C274" s="30"/>
      <c r="D274" s="31"/>
      <c r="E274" s="29"/>
      <c r="F274" s="29"/>
      <c r="G274" s="31"/>
      <c r="H274" s="31">
        <f>+D274</f>
        <v>0</v>
      </c>
      <c r="I274" s="32"/>
      <c r="J274" s="32"/>
      <c r="K274" s="32"/>
      <c r="L274" s="32"/>
      <c r="M274" s="32"/>
      <c r="N274" s="32"/>
      <c r="O274" s="32"/>
      <c r="P274" s="32"/>
      <c r="Q274" s="32"/>
      <c r="R274" s="32"/>
      <c r="S274" s="32"/>
      <c r="T274" s="32"/>
      <c r="U274" s="29"/>
      <c r="V274" s="8"/>
      <c r="W274" s="32">
        <f>+G274+D274+D274</f>
        <v>0</v>
      </c>
      <c r="X274" s="32"/>
      <c r="Y274" s="32">
        <f>+IF(D274=0.667,F274*H274*W274*X274,0)</f>
        <v>0</v>
      </c>
      <c r="Z274" s="32">
        <f>+IF(D274=0.333,F274*H274*W274*X274,0)</f>
        <v>0</v>
      </c>
      <c r="AA274" s="32">
        <f>+F274*G274*H274</f>
        <v>0</v>
      </c>
      <c r="AB274" s="32">
        <f>2*F274*W274*X274</f>
        <v>0</v>
      </c>
      <c r="AC274" s="9"/>
      <c r="AD274" s="32">
        <f>2*H274*Y274*Z274</f>
        <v>0</v>
      </c>
      <c r="AE274" s="32">
        <f>2*J274*Z274*AA274</f>
        <v>0</v>
      </c>
      <c r="AF274" s="32">
        <f>2*K274*AA274*AB274</f>
        <v>0</v>
      </c>
      <c r="AG274" s="9"/>
      <c r="AH274" s="32">
        <f>2*M274*AC274*AD274</f>
        <v>0</v>
      </c>
      <c r="AI274" s="32">
        <f>2*N274*AD274*AE274</f>
        <v>0</v>
      </c>
      <c r="AK274" s="357">
        <f>+AK273*0.667*0.667</f>
        <v>633.22320860761511</v>
      </c>
      <c r="AL274" s="357"/>
      <c r="AM274" s="357">
        <f>0.667*(7-0.667)*AM273*2</f>
        <v>146.06975838000002</v>
      </c>
      <c r="AN274" s="357"/>
      <c r="AO274" s="310"/>
      <c r="AP274" s="357">
        <f>+AP273</f>
        <v>804.98581437597431</v>
      </c>
      <c r="AQ274" s="357"/>
    </row>
    <row r="275" spans="2:46" s="37" customFormat="1" x14ac:dyDescent="0.3">
      <c r="B275" s="33"/>
      <c r="C275" s="34"/>
      <c r="D275" s="35"/>
      <c r="E275" s="33"/>
      <c r="F275" s="33"/>
      <c r="G275" s="35"/>
      <c r="H275" s="35"/>
      <c r="I275" s="36"/>
      <c r="J275" s="36"/>
      <c r="K275" s="36"/>
      <c r="L275" s="36"/>
      <c r="M275" s="36"/>
      <c r="N275" s="36"/>
      <c r="O275" s="36"/>
      <c r="P275" s="36"/>
      <c r="Q275" s="36"/>
      <c r="R275" s="36"/>
      <c r="S275" s="36"/>
      <c r="T275" s="36"/>
      <c r="U275" s="33"/>
      <c r="W275" s="36"/>
      <c r="X275" s="36"/>
      <c r="Y275" s="36"/>
      <c r="Z275" s="36"/>
      <c r="AA275" s="36"/>
      <c r="AB275" s="36"/>
      <c r="AC275" s="38"/>
      <c r="AD275" s="36"/>
      <c r="AE275" s="36"/>
      <c r="AF275" s="36"/>
      <c r="AG275" s="38"/>
      <c r="AH275" s="36"/>
      <c r="AI275" s="36"/>
      <c r="AK275" s="358"/>
      <c r="AL275" s="358">
        <f>+AL273*0.667</f>
        <v>22.469561166000005</v>
      </c>
      <c r="AM275" s="358"/>
      <c r="AN275" s="358">
        <f>(7-0.667)*AN273*2</f>
        <v>16.845780000000001</v>
      </c>
      <c r="AO275" s="359">
        <f>+AO273*(3-0.667)</f>
        <v>0</v>
      </c>
      <c r="AP275" s="358"/>
      <c r="AQ275" s="358">
        <f>1.33*(7-0.667)*AQ273</f>
        <v>0</v>
      </c>
    </row>
    <row r="276" spans="2:46" s="37" customFormat="1" x14ac:dyDescent="0.3">
      <c r="E276" s="33"/>
      <c r="F276" s="33"/>
      <c r="G276" s="35"/>
      <c r="H276" s="35"/>
      <c r="I276" s="36"/>
      <c r="J276" s="36"/>
      <c r="K276" s="36"/>
      <c r="L276" s="36"/>
      <c r="M276" s="36"/>
      <c r="N276" s="36"/>
      <c r="O276" s="36"/>
      <c r="P276" s="36"/>
      <c r="Q276" s="36"/>
      <c r="R276" s="36"/>
      <c r="S276" s="36"/>
      <c r="T276" s="36"/>
      <c r="U276" s="33"/>
      <c r="W276" s="36"/>
      <c r="X276" s="36"/>
      <c r="Y276" s="36"/>
      <c r="Z276" s="36"/>
      <c r="AA276" s="36"/>
      <c r="AB276" s="36"/>
      <c r="AC276" s="38"/>
      <c r="AD276" s="36"/>
      <c r="AE276" s="36"/>
      <c r="AF276" s="36"/>
      <c r="AG276" s="38"/>
      <c r="AH276" s="36"/>
      <c r="AI276" s="36"/>
      <c r="AO276" s="360"/>
    </row>
    <row r="277" spans="2:46" s="44" customFormat="1" ht="26.25" customHeight="1" x14ac:dyDescent="0.3">
      <c r="B277" s="793" t="s">
        <v>247</v>
      </c>
      <c r="C277" s="794"/>
      <c r="D277" s="794"/>
      <c r="E277" s="794"/>
      <c r="F277" s="794"/>
      <c r="G277" s="39"/>
      <c r="H277" s="39"/>
      <c r="I277" s="40"/>
      <c r="J277" s="40"/>
      <c r="K277" s="791" t="s">
        <v>25</v>
      </c>
      <c r="L277" s="792"/>
      <c r="M277" s="40"/>
      <c r="N277" s="791" t="s">
        <v>26</v>
      </c>
      <c r="O277" s="792"/>
      <c r="P277" s="40"/>
      <c r="Q277" s="791" t="s">
        <v>27</v>
      </c>
      <c r="R277" s="792"/>
      <c r="S277" s="791" t="s">
        <v>10</v>
      </c>
      <c r="T277" s="792"/>
      <c r="U277" s="39"/>
      <c r="V277" s="41"/>
      <c r="W277" s="42"/>
      <c r="X277" s="42"/>
      <c r="Y277" s="786"/>
      <c r="Z277" s="786"/>
      <c r="AA277" s="786"/>
      <c r="AB277" s="786"/>
      <c r="AC277" s="43"/>
      <c r="AD277" s="42"/>
      <c r="AE277" s="42"/>
      <c r="AF277" s="42"/>
      <c r="AG277" s="43"/>
      <c r="AH277" s="42"/>
      <c r="AI277" s="42"/>
      <c r="AO277" s="40"/>
      <c r="AR277" s="2"/>
    </row>
    <row r="278" spans="2:46" s="1" customFormat="1" ht="27.6" x14ac:dyDescent="0.3">
      <c r="B278" s="313" t="s">
        <v>0</v>
      </c>
      <c r="C278" s="313" t="s">
        <v>28</v>
      </c>
      <c r="D278" s="313" t="s">
        <v>2</v>
      </c>
      <c r="E278" s="769" t="s">
        <v>3</v>
      </c>
      <c r="F278" s="769"/>
      <c r="G278" s="313"/>
      <c r="H278" s="313"/>
      <c r="I278" s="312"/>
      <c r="J278" s="312"/>
      <c r="K278" s="312" t="s">
        <v>19</v>
      </c>
      <c r="L278" s="312" t="s">
        <v>20</v>
      </c>
      <c r="M278" s="312"/>
      <c r="N278" s="312" t="s">
        <v>19</v>
      </c>
      <c r="O278" s="312" t="s">
        <v>20</v>
      </c>
      <c r="P278" s="312"/>
      <c r="Q278" s="312" t="s">
        <v>19</v>
      </c>
      <c r="R278" s="312" t="s">
        <v>20</v>
      </c>
      <c r="S278" s="312" t="s">
        <v>19</v>
      </c>
      <c r="T278" s="312" t="s">
        <v>20</v>
      </c>
      <c r="U278" s="313" t="s">
        <v>11</v>
      </c>
      <c r="V278" s="45"/>
      <c r="W278" s="770" t="s">
        <v>12</v>
      </c>
      <c r="X278" s="770"/>
      <c r="Y278" s="770"/>
      <c r="Z278" s="770"/>
      <c r="AA278" s="770" t="s">
        <v>13</v>
      </c>
      <c r="AB278" s="770"/>
      <c r="AC278" s="46"/>
      <c r="AD278" s="770" t="s">
        <v>14</v>
      </c>
      <c r="AE278" s="770"/>
      <c r="AF278" s="770"/>
      <c r="AG278" s="46"/>
      <c r="AH278" s="770" t="s">
        <v>15</v>
      </c>
      <c r="AI278" s="770"/>
      <c r="AK278" s="789" t="s">
        <v>313</v>
      </c>
      <c r="AL278" s="789"/>
      <c r="AO278" s="3"/>
      <c r="AR278" s="2"/>
    </row>
    <row r="279" spans="2:46" s="33" customFormat="1" ht="24.9" customHeight="1" x14ac:dyDescent="0.3">
      <c r="B279" s="47"/>
      <c r="C279" s="64" t="s">
        <v>90</v>
      </c>
      <c r="D279" s="47"/>
      <c r="E279" s="47"/>
      <c r="F279" s="47"/>
      <c r="G279" s="47"/>
      <c r="H279" s="47"/>
      <c r="I279" s="48"/>
      <c r="J279" s="48"/>
      <c r="K279" s="48"/>
      <c r="L279" s="48"/>
      <c r="M279" s="48"/>
      <c r="N279" s="48"/>
      <c r="O279" s="48"/>
      <c r="P279" s="48"/>
      <c r="Q279" s="48"/>
      <c r="R279" s="48"/>
      <c r="S279" s="48"/>
      <c r="T279" s="48"/>
      <c r="U279" s="47"/>
      <c r="V279" s="49"/>
      <c r="W279" s="312" t="s">
        <v>4</v>
      </c>
      <c r="X279" s="312" t="s">
        <v>16</v>
      </c>
      <c r="Y279" s="312" t="s">
        <v>19</v>
      </c>
      <c r="Z279" s="312" t="s">
        <v>20</v>
      </c>
      <c r="AA279" s="312" t="s">
        <v>21</v>
      </c>
      <c r="AB279" s="312" t="s">
        <v>22</v>
      </c>
      <c r="AC279" s="46"/>
      <c r="AD279" s="312" t="s">
        <v>16</v>
      </c>
      <c r="AE279" s="312" t="s">
        <v>19</v>
      </c>
      <c r="AF279" s="312" t="s">
        <v>20</v>
      </c>
      <c r="AG279" s="46"/>
      <c r="AH279" s="312" t="s">
        <v>3</v>
      </c>
      <c r="AI279" s="312" t="s">
        <v>23</v>
      </c>
      <c r="AK279" s="355" t="s">
        <v>19</v>
      </c>
      <c r="AL279" s="355" t="s">
        <v>20</v>
      </c>
      <c r="AO279" s="360"/>
      <c r="AR279" s="2"/>
    </row>
    <row r="280" spans="2:46" ht="24.9" customHeight="1" x14ac:dyDescent="0.3">
      <c r="B280" s="18"/>
      <c r="C280" s="50"/>
      <c r="D280" s="18" t="s">
        <v>29</v>
      </c>
      <c r="E280" s="18">
        <v>1</v>
      </c>
      <c r="F280" s="18">
        <v>1</v>
      </c>
      <c r="G280" s="20"/>
      <c r="H280" s="18"/>
      <c r="I280" s="21"/>
      <c r="J280" s="21"/>
      <c r="K280" s="51">
        <f>K273</f>
        <v>2932.5517070819997</v>
      </c>
      <c r="L280" s="21"/>
      <c r="M280" s="21"/>
      <c r="N280" s="21">
        <f>N273</f>
        <v>3127.4179328360024</v>
      </c>
      <c r="O280" s="21"/>
      <c r="P280" s="21"/>
      <c r="Q280" s="21">
        <f>Q273</f>
        <v>2968.6064637851678</v>
      </c>
      <c r="R280" s="21"/>
      <c r="S280" s="52">
        <f>+Q280+N280+K280</f>
        <v>9028.5761037031698</v>
      </c>
      <c r="T280" s="52"/>
      <c r="U280" s="53"/>
      <c r="V280" s="54"/>
      <c r="W280" s="48"/>
      <c r="X280" s="48"/>
      <c r="Y280" s="55">
        <f>Y273</f>
        <v>143.91921331149999</v>
      </c>
      <c r="Z280" s="55"/>
      <c r="AA280" s="55">
        <f>AA273</f>
        <v>256.88866862300011</v>
      </c>
      <c r="AB280" s="55"/>
      <c r="AC280" s="55">
        <f t="shared" ref="AC280:AI280" si="732">AC273</f>
        <v>0</v>
      </c>
      <c r="AD280" s="55">
        <f t="shared" si="732"/>
        <v>0</v>
      </c>
      <c r="AE280" s="55">
        <f t="shared" si="732"/>
        <v>34.123908760999996</v>
      </c>
      <c r="AF280" s="55">
        <f t="shared" si="732"/>
        <v>0</v>
      </c>
      <c r="AG280" s="55">
        <f t="shared" si="732"/>
        <v>0</v>
      </c>
      <c r="AH280" s="55">
        <f t="shared" si="732"/>
        <v>0</v>
      </c>
      <c r="AI280" s="55">
        <f t="shared" si="732"/>
        <v>440.07932577457018</v>
      </c>
      <c r="AK280" s="361">
        <f>+AK274+AM274+AP274</f>
        <v>1584.2787813635896</v>
      </c>
      <c r="AL280" s="362"/>
      <c r="AR280" s="44"/>
    </row>
    <row r="281" spans="2:46" ht="24.9" customHeight="1" x14ac:dyDescent="0.3">
      <c r="B281" s="18"/>
      <c r="C281" s="50"/>
      <c r="D281" s="18" t="s">
        <v>30</v>
      </c>
      <c r="E281" s="18">
        <v>1</v>
      </c>
      <c r="F281" s="18">
        <v>1</v>
      </c>
      <c r="G281" s="18"/>
      <c r="H281" s="18"/>
      <c r="I281" s="21"/>
      <c r="J281" s="21"/>
      <c r="K281" s="21"/>
      <c r="L281" s="21">
        <f>L273</f>
        <v>101.06249400000002</v>
      </c>
      <c r="M281" s="21"/>
      <c r="N281" s="21"/>
      <c r="O281" s="21">
        <f>O273</f>
        <v>134.74999200000002</v>
      </c>
      <c r="P281" s="21"/>
      <c r="Q281" s="21"/>
      <c r="R281" s="21">
        <f>R273</f>
        <v>123.11268083400002</v>
      </c>
      <c r="S281" s="52"/>
      <c r="T281" s="52">
        <f>+R281+O281+L281</f>
        <v>358.92516683400004</v>
      </c>
      <c r="U281" s="56"/>
      <c r="V281" s="54"/>
      <c r="W281" s="48"/>
      <c r="X281" s="48"/>
      <c r="Y281" s="48"/>
      <c r="Z281" s="48">
        <f>Z273</f>
        <v>0.59656950000000009</v>
      </c>
      <c r="AA281" s="48"/>
      <c r="AB281" s="48">
        <f>AB273</f>
        <v>435.12486899999976</v>
      </c>
      <c r="AC281" s="48">
        <f>AC273</f>
        <v>0</v>
      </c>
      <c r="AD281" s="48">
        <f>AD273</f>
        <v>0</v>
      </c>
      <c r="AE281" s="48"/>
      <c r="AF281" s="48">
        <f>AF273</f>
        <v>0</v>
      </c>
      <c r="AG281" s="48">
        <f>AG273</f>
        <v>0</v>
      </c>
      <c r="AH281" s="48">
        <f>AH273</f>
        <v>0</v>
      </c>
      <c r="AI281" s="48"/>
      <c r="AK281" s="362"/>
      <c r="AL281" s="361">
        <f>+AL275+AN275+AO275</f>
        <v>39.31534116600001</v>
      </c>
    </row>
    <row r="282" spans="2:46" ht="24.9" customHeight="1" x14ac:dyDescent="0.3">
      <c r="B282" s="18"/>
      <c r="C282" s="50"/>
      <c r="D282" s="18"/>
      <c r="E282" s="18"/>
      <c r="F282" s="18"/>
      <c r="G282" s="18"/>
      <c r="H282" s="18"/>
      <c r="I282" s="21"/>
      <c r="J282" s="21"/>
      <c r="K282" s="21"/>
      <c r="L282" s="21"/>
      <c r="M282" s="21"/>
      <c r="N282" s="21"/>
      <c r="O282" s="21"/>
      <c r="P282" s="21"/>
      <c r="Q282" s="21"/>
      <c r="R282" s="21"/>
      <c r="S282" s="21"/>
      <c r="T282" s="21"/>
      <c r="U282" s="18"/>
      <c r="V282" s="54"/>
      <c r="W282" s="48"/>
      <c r="X282" s="48"/>
      <c r="Y282" s="48"/>
      <c r="Z282" s="48"/>
      <c r="AA282" s="48"/>
      <c r="AB282" s="48"/>
      <c r="AC282" s="48"/>
      <c r="AD282" s="48"/>
      <c r="AE282" s="48"/>
      <c r="AF282" s="48"/>
      <c r="AG282" s="48"/>
      <c r="AH282" s="48"/>
      <c r="AI282" s="48"/>
      <c r="AK282" s="310"/>
      <c r="AL282" s="310"/>
    </row>
    <row r="283" spans="2:46" s="44" customFormat="1" ht="24.9" customHeight="1" x14ac:dyDescent="0.3">
      <c r="B283" s="57"/>
      <c r="C283" s="58" t="s">
        <v>10</v>
      </c>
      <c r="D283" s="57"/>
      <c r="E283" s="57"/>
      <c r="F283" s="57"/>
      <c r="G283" s="57"/>
      <c r="H283" s="57"/>
      <c r="I283" s="59"/>
      <c r="J283" s="59"/>
      <c r="K283" s="60">
        <f>SUM(K280:K281)</f>
        <v>2932.5517070819997</v>
      </c>
      <c r="L283" s="60">
        <f t="shared" ref="L283:T283" si="733">SUM(L280:L281)</f>
        <v>101.06249400000002</v>
      </c>
      <c r="M283" s="60">
        <f t="shared" si="733"/>
        <v>0</v>
      </c>
      <c r="N283" s="60">
        <f t="shared" si="733"/>
        <v>3127.4179328360024</v>
      </c>
      <c r="O283" s="60">
        <f t="shared" si="733"/>
        <v>134.74999200000002</v>
      </c>
      <c r="P283" s="60">
        <f t="shared" si="733"/>
        <v>0</v>
      </c>
      <c r="Q283" s="60">
        <f t="shared" si="733"/>
        <v>2968.6064637851678</v>
      </c>
      <c r="R283" s="60">
        <f t="shared" si="733"/>
        <v>123.11268083400002</v>
      </c>
      <c r="S283" s="60">
        <f t="shared" si="733"/>
        <v>9028.5761037031698</v>
      </c>
      <c r="T283" s="60">
        <f t="shared" si="733"/>
        <v>358.92516683400004</v>
      </c>
      <c r="U283" s="57"/>
      <c r="V283" s="61"/>
      <c r="W283" s="48"/>
      <c r="X283" s="48"/>
      <c r="Y283" s="60">
        <f t="shared" ref="Y283:AI283" si="734">SUM(Y280:Y282)</f>
        <v>143.91921331149999</v>
      </c>
      <c r="Z283" s="60">
        <f t="shared" si="734"/>
        <v>0.59656950000000009</v>
      </c>
      <c r="AA283" s="60">
        <f t="shared" si="734"/>
        <v>256.88866862300011</v>
      </c>
      <c r="AB283" s="60">
        <f t="shared" si="734"/>
        <v>435.12486899999976</v>
      </c>
      <c r="AC283" s="60">
        <f t="shared" si="734"/>
        <v>0</v>
      </c>
      <c r="AD283" s="60">
        <f t="shared" si="734"/>
        <v>0</v>
      </c>
      <c r="AE283" s="60">
        <f t="shared" si="734"/>
        <v>34.123908760999996</v>
      </c>
      <c r="AF283" s="60">
        <f t="shared" si="734"/>
        <v>0</v>
      </c>
      <c r="AG283" s="60">
        <f t="shared" si="734"/>
        <v>0</v>
      </c>
      <c r="AH283" s="60">
        <f>SUM(AH280:AH282)</f>
        <v>0</v>
      </c>
      <c r="AI283" s="60">
        <f t="shared" si="734"/>
        <v>440.07932577457018</v>
      </c>
      <c r="AK283" s="363">
        <f t="shared" ref="AK283:AL283" si="735">SUM(AK280:AK282)</f>
        <v>1584.2787813635896</v>
      </c>
      <c r="AL283" s="363">
        <f t="shared" si="735"/>
        <v>39.31534116600001</v>
      </c>
      <c r="AO283" s="40"/>
      <c r="AR283" s="2"/>
    </row>
    <row r="284" spans="2:46" ht="24.9" customHeight="1" x14ac:dyDescent="0.3">
      <c r="B284" s="18"/>
      <c r="C284" s="62"/>
      <c r="D284" s="18"/>
      <c r="E284" s="18"/>
      <c r="F284" s="18"/>
      <c r="G284" s="18"/>
      <c r="H284" s="18">
        <f>+D284</f>
        <v>0</v>
      </c>
      <c r="I284" s="21"/>
      <c r="J284" s="21"/>
      <c r="K284" s="21"/>
      <c r="L284" s="21"/>
      <c r="M284" s="21"/>
      <c r="N284" s="21">
        <f>+IF(D284=0.667,E284*F284*G284*H284*M284,0)</f>
        <v>0</v>
      </c>
      <c r="O284" s="21">
        <f>+IF(D284=0.333,E284*F284*G284*M284,0)</f>
        <v>0</v>
      </c>
      <c r="P284" s="21"/>
      <c r="Q284" s="21">
        <f>+IF(D284=0.667,E284*F284*G284*H284*P284,0)</f>
        <v>0</v>
      </c>
      <c r="R284" s="21">
        <f>+IF(D284=0.333,E284*F284*G284*P284,0)</f>
        <v>0</v>
      </c>
      <c r="S284" s="21">
        <f>+Q284+N284+K284</f>
        <v>0</v>
      </c>
      <c r="T284" s="21">
        <f>+R284+O284+L284</f>
        <v>0</v>
      </c>
      <c r="U284" s="18"/>
      <c r="V284" s="54"/>
      <c r="W284" s="48"/>
      <c r="X284" s="48"/>
      <c r="Y284" s="48"/>
      <c r="Z284" s="166">
        <f>Z283+Y283</f>
        <v>144.51578281149997</v>
      </c>
      <c r="AA284" s="48"/>
      <c r="AB284" s="48">
        <f>+AA283+AB283</f>
        <v>692.01353762299982</v>
      </c>
      <c r="AC284" s="48"/>
      <c r="AD284" s="48"/>
      <c r="AE284" s="48"/>
      <c r="AF284" s="166">
        <f>+AE283+AF283</f>
        <v>34.123908760999996</v>
      </c>
      <c r="AG284" s="48"/>
      <c r="AH284" s="48"/>
      <c r="AI284" s="48"/>
      <c r="AK284" s="364" t="s">
        <v>65</v>
      </c>
      <c r="AL284" s="364" t="s">
        <v>103</v>
      </c>
    </row>
    <row r="285" spans="2:46" x14ac:dyDescent="0.3">
      <c r="V285" s="1"/>
      <c r="Z285" s="42">
        <f>+Z283/0.33</f>
        <v>1.8077863636363638</v>
      </c>
      <c r="AC285" s="1"/>
      <c r="AF285" s="5">
        <f>+AF283/0.17</f>
        <v>0</v>
      </c>
      <c r="AG285" s="1"/>
    </row>
    <row r="286" spans="2:46" s="6" customFormat="1" x14ac:dyDescent="0.3">
      <c r="B286" s="1"/>
      <c r="C286" s="2"/>
      <c r="D286" s="1"/>
      <c r="E286" s="1"/>
      <c r="F286" s="1"/>
      <c r="G286" s="1"/>
      <c r="H286" s="1"/>
      <c r="I286" s="3"/>
      <c r="J286" s="3"/>
      <c r="K286" s="3"/>
      <c r="L286" s="3"/>
      <c r="M286" s="3"/>
      <c r="N286" s="3"/>
      <c r="O286" s="3"/>
      <c r="P286" s="3"/>
      <c r="Q286" s="3"/>
      <c r="R286" s="3"/>
      <c r="S286" s="3"/>
      <c r="T286" s="3"/>
      <c r="U286" s="1"/>
      <c r="V286" s="4"/>
      <c r="W286" s="5"/>
      <c r="X286" s="5"/>
      <c r="Y286" s="3"/>
      <c r="Z286" s="5" t="s">
        <v>103</v>
      </c>
      <c r="AA286" s="5"/>
      <c r="AB286" s="5"/>
      <c r="AD286" s="5"/>
      <c r="AE286" s="5"/>
      <c r="AF286" s="5" t="s">
        <v>103</v>
      </c>
      <c r="AH286" s="5"/>
      <c r="AI286" s="5"/>
      <c r="AJ286" s="2"/>
      <c r="AK286" s="2"/>
      <c r="AL286" s="2"/>
      <c r="AM286" s="2"/>
      <c r="AN286" s="2"/>
      <c r="AO286" s="3"/>
      <c r="AP286" s="2"/>
      <c r="AQ286" s="2"/>
      <c r="AR286" s="2"/>
    </row>
    <row r="287" spans="2:46" x14ac:dyDescent="0.3">
      <c r="AO287" s="3">
        <f>1.33+0.15</f>
        <v>1.48</v>
      </c>
    </row>
    <row r="288" spans="2:46" x14ac:dyDescent="0.3">
      <c r="AK288" s="365">
        <f>164/100*AK283</f>
        <v>2598.2172014362868</v>
      </c>
      <c r="AL288" s="365">
        <f>108/100*AL283</f>
        <v>42.460568459280012</v>
      </c>
      <c r="AO288" s="3">
        <f>0.67+0.15</f>
        <v>0.82000000000000006</v>
      </c>
    </row>
    <row r="289" spans="19:42" x14ac:dyDescent="0.3">
      <c r="S289" s="3">
        <v>10564</v>
      </c>
      <c r="AO289" s="3">
        <v>0.67</v>
      </c>
    </row>
    <row r="290" spans="19:42" x14ac:dyDescent="0.3">
      <c r="AK290" s="2">
        <v>961</v>
      </c>
      <c r="AO290" s="3">
        <f>+AO287*AO288*AO289</f>
        <v>0.81311200000000006</v>
      </c>
      <c r="AP290" s="2">
        <f>+AK283/AO290</f>
        <v>1948.4139717081896</v>
      </c>
    </row>
    <row r="295" spans="19:42" x14ac:dyDescent="0.3">
      <c r="S295" s="3">
        <f>+S283+T283</f>
        <v>9387.5012705371701</v>
      </c>
    </row>
    <row r="296" spans="19:42" x14ac:dyDescent="0.3">
      <c r="S296" s="3">
        <f>+S273+T273</f>
        <v>9387.5012705371701</v>
      </c>
    </row>
  </sheetData>
  <mergeCells count="33">
    <mergeCell ref="AP3:AQ3"/>
    <mergeCell ref="B2:I2"/>
    <mergeCell ref="B3:B4"/>
    <mergeCell ref="C3:C4"/>
    <mergeCell ref="D3:D4"/>
    <mergeCell ref="E3:F4"/>
    <mergeCell ref="G3:G4"/>
    <mergeCell ref="H3:H4"/>
    <mergeCell ref="I3:I4"/>
    <mergeCell ref="AA3:AB3"/>
    <mergeCell ref="AD3:AF3"/>
    <mergeCell ref="AH3:AI3"/>
    <mergeCell ref="J3:L3"/>
    <mergeCell ref="M3:O3"/>
    <mergeCell ref="E278:F278"/>
    <mergeCell ref="W278:Z278"/>
    <mergeCell ref="S277:T277"/>
    <mergeCell ref="Q277:R277"/>
    <mergeCell ref="N277:O277"/>
    <mergeCell ref="K277:L277"/>
    <mergeCell ref="B277:F277"/>
    <mergeCell ref="Y277:Z277"/>
    <mergeCell ref="AA277:AB277"/>
    <mergeCell ref="P3:R3"/>
    <mergeCell ref="AK3:AL3"/>
    <mergeCell ref="AM3:AN3"/>
    <mergeCell ref="AK278:AL278"/>
    <mergeCell ref="U3:U4"/>
    <mergeCell ref="W3:Z3"/>
    <mergeCell ref="AA278:AB278"/>
    <mergeCell ref="AD278:AF278"/>
    <mergeCell ref="AH278:AI278"/>
    <mergeCell ref="S3:T3"/>
  </mergeCells>
  <printOptions horizontalCentered="1"/>
  <pageMargins left="0" right="0" top="0" bottom="0" header="0.3" footer="0.3"/>
  <pageSetup paperSize="9" scale="67" orientation="landscape" r:id="rId1"/>
  <ignoredErrors>
    <ignoredError sqref="E175:F175 E189 D62:F63 E70:F86 E90:F106 G135 E217:F223 E227:F232 G200 E56:F5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P95"/>
  <sheetViews>
    <sheetView showGridLines="0" zoomScale="85" zoomScaleNormal="85" workbookViewId="0">
      <pane xSplit="3" ySplit="4" topLeftCell="D74" activePane="bottomRight" state="frozen"/>
      <selection activeCell="B3" sqref="B3:B4"/>
      <selection pane="topRight" activeCell="B3" sqref="B3:B4"/>
      <selection pane="bottomLeft" activeCell="B3" sqref="B3:B4"/>
      <selection pane="bottomRight" activeCell="Y84" sqref="Y84:Y86"/>
    </sheetView>
  </sheetViews>
  <sheetFormatPr defaultColWidth="9.109375" defaultRowHeight="13.8" x14ac:dyDescent="0.3"/>
  <cols>
    <col min="1" max="1" width="1.44140625" style="28" customWidth="1"/>
    <col min="2" max="2" width="3.44140625" style="86" customWidth="1"/>
    <col min="3" max="3" width="17.6640625" style="28" customWidth="1"/>
    <col min="4" max="4" width="5.5546875" style="106" customWidth="1"/>
    <col min="5" max="5" width="4.109375" style="106" customWidth="1"/>
    <col min="6" max="6" width="6.6640625" style="106" customWidth="1"/>
    <col min="7" max="7" width="7.6640625" style="106" customWidth="1"/>
    <col min="8" max="8" width="9.109375" style="106" customWidth="1"/>
    <col min="9" max="9" width="6.88671875" style="106" customWidth="1"/>
    <col min="10" max="10" width="7.109375" style="106" customWidth="1"/>
    <col min="11" max="12" width="9.33203125" style="106" customWidth="1"/>
    <col min="13" max="13" width="7.109375" style="106" customWidth="1"/>
    <col min="14" max="14" width="7.6640625" style="106" customWidth="1"/>
    <col min="15" max="15" width="7" style="106" customWidth="1"/>
    <col min="16" max="16" width="7.109375" style="106" customWidth="1"/>
    <col min="17" max="17" width="8.5546875" style="106" customWidth="1"/>
    <col min="18" max="18" width="7" style="106" customWidth="1"/>
    <col min="19" max="20" width="9.33203125" style="106" bestFit="1" customWidth="1"/>
    <col min="21" max="21" width="5.88671875" style="106" customWidth="1"/>
    <col min="22" max="22" width="0.6640625" style="88" customWidth="1"/>
    <col min="23" max="23" width="7.6640625" style="88" customWidth="1"/>
    <col min="24" max="24" width="7.109375" style="88" customWidth="1"/>
    <col min="25" max="26" width="6.88671875" style="88" customWidth="1"/>
    <col min="27" max="27" width="8.109375" style="88" customWidth="1"/>
    <col min="28" max="28" width="6.6640625" style="88" customWidth="1"/>
    <col min="29" max="29" width="0.5546875" style="88" customWidth="1"/>
    <col min="30" max="30" width="7.109375" style="88" customWidth="1"/>
    <col min="31" max="31" width="5.6640625" style="88" customWidth="1"/>
    <col min="32" max="32" width="0.44140625" style="88" customWidth="1"/>
    <col min="33" max="33" width="6.6640625" style="88" customWidth="1"/>
    <col min="34" max="34" width="7.6640625" style="88" customWidth="1"/>
    <col min="35" max="35" width="2.33203125" style="28" customWidth="1"/>
    <col min="36" max="36" width="11.6640625" style="28" bestFit="1" customWidth="1"/>
    <col min="37" max="37" width="8.88671875" style="28" bestFit="1" customWidth="1"/>
    <col min="38" max="38" width="8.5546875" style="28" bestFit="1" customWidth="1"/>
    <col min="39" max="39" width="11.6640625" style="28" bestFit="1" customWidth="1"/>
    <col min="40" max="40" width="11.88671875" style="106" customWidth="1"/>
    <col min="41" max="41" width="11.6640625" style="28" bestFit="1" customWidth="1"/>
    <col min="42" max="42" width="7.6640625" style="28" bestFit="1" customWidth="1"/>
    <col min="43" max="16384" width="9.109375" style="28"/>
  </cols>
  <sheetData>
    <row r="1" spans="2:42" ht="5.25" customHeight="1" x14ac:dyDescent="0.3"/>
    <row r="2" spans="2:42" ht="18.75" customHeight="1" x14ac:dyDescent="0.3">
      <c r="B2" s="89" t="s">
        <v>435</v>
      </c>
      <c r="C2" s="90"/>
      <c r="D2" s="258"/>
      <c r="E2" s="90"/>
      <c r="F2" s="90"/>
      <c r="G2" s="90"/>
      <c r="H2" s="90"/>
      <c r="I2" s="90"/>
      <c r="J2" s="453"/>
      <c r="K2" s="453"/>
      <c r="L2" s="453"/>
      <c r="M2" s="453"/>
      <c r="N2" s="453"/>
      <c r="O2" s="453"/>
      <c r="P2" s="453"/>
      <c r="Q2" s="453"/>
      <c r="R2" s="453"/>
      <c r="S2" s="453"/>
      <c r="T2" s="453"/>
      <c r="U2" s="453"/>
      <c r="W2" s="88">
        <f>2.951*3.281</f>
        <v>9.6822309999999998</v>
      </c>
    </row>
    <row r="3" spans="2:42" ht="18.75" customHeight="1" x14ac:dyDescent="0.3">
      <c r="B3" s="778" t="s">
        <v>39</v>
      </c>
      <c r="C3" s="778" t="s">
        <v>1</v>
      </c>
      <c r="D3" s="779" t="s">
        <v>2</v>
      </c>
      <c r="E3" s="779" t="s">
        <v>3</v>
      </c>
      <c r="F3" s="779"/>
      <c r="G3" s="779" t="s">
        <v>4</v>
      </c>
      <c r="H3" s="779" t="s">
        <v>5</v>
      </c>
      <c r="I3" s="779" t="s">
        <v>6</v>
      </c>
      <c r="J3" s="779" t="s">
        <v>7</v>
      </c>
      <c r="K3" s="779"/>
      <c r="L3" s="779"/>
      <c r="M3" s="779" t="s">
        <v>8</v>
      </c>
      <c r="N3" s="779"/>
      <c r="O3" s="779"/>
      <c r="P3" s="779" t="s">
        <v>9</v>
      </c>
      <c r="Q3" s="779"/>
      <c r="R3" s="779"/>
      <c r="S3" s="779" t="s">
        <v>10</v>
      </c>
      <c r="T3" s="779"/>
      <c r="U3" s="779" t="s">
        <v>11</v>
      </c>
      <c r="V3" s="454"/>
      <c r="W3" s="779" t="s">
        <v>12</v>
      </c>
      <c r="X3" s="779"/>
      <c r="Y3" s="779"/>
      <c r="Z3" s="779"/>
      <c r="AA3" s="779" t="s">
        <v>13</v>
      </c>
      <c r="AB3" s="779"/>
      <c r="AC3" s="454"/>
      <c r="AD3" s="779" t="s">
        <v>14</v>
      </c>
      <c r="AE3" s="779"/>
      <c r="AF3" s="454"/>
      <c r="AG3" s="779" t="s">
        <v>15</v>
      </c>
      <c r="AH3" s="779"/>
      <c r="AJ3" s="771" t="s">
        <v>310</v>
      </c>
      <c r="AK3" s="771"/>
      <c r="AL3" s="771" t="s">
        <v>37</v>
      </c>
      <c r="AM3" s="771"/>
      <c r="AN3" s="355" t="s">
        <v>40</v>
      </c>
      <c r="AO3" s="771" t="s">
        <v>314</v>
      </c>
      <c r="AP3" s="771"/>
    </row>
    <row r="4" spans="2:42" ht="33" customHeight="1" x14ac:dyDescent="0.3">
      <c r="B4" s="778"/>
      <c r="C4" s="778"/>
      <c r="D4" s="779"/>
      <c r="E4" s="779"/>
      <c r="F4" s="779"/>
      <c r="G4" s="779"/>
      <c r="H4" s="779"/>
      <c r="I4" s="779"/>
      <c r="J4" s="439" t="s">
        <v>16</v>
      </c>
      <c r="K4" s="439" t="s">
        <v>17</v>
      </c>
      <c r="L4" s="439" t="s">
        <v>18</v>
      </c>
      <c r="M4" s="439" t="s">
        <v>16</v>
      </c>
      <c r="N4" s="439" t="s">
        <v>17</v>
      </c>
      <c r="O4" s="439" t="s">
        <v>18</v>
      </c>
      <c r="P4" s="439" t="s">
        <v>16</v>
      </c>
      <c r="Q4" s="439" t="s">
        <v>17</v>
      </c>
      <c r="R4" s="439" t="s">
        <v>18</v>
      </c>
      <c r="S4" s="439" t="s">
        <v>17</v>
      </c>
      <c r="T4" s="439" t="s">
        <v>18</v>
      </c>
      <c r="U4" s="779"/>
      <c r="V4" s="454"/>
      <c r="W4" s="439" t="s">
        <v>4</v>
      </c>
      <c r="X4" s="439" t="s">
        <v>16</v>
      </c>
      <c r="Y4" s="439" t="s">
        <v>19</v>
      </c>
      <c r="Z4" s="439" t="s">
        <v>20</v>
      </c>
      <c r="AA4" s="439" t="s">
        <v>21</v>
      </c>
      <c r="AB4" s="439" t="s">
        <v>22</v>
      </c>
      <c r="AC4" s="454"/>
      <c r="AD4" s="439" t="s">
        <v>16</v>
      </c>
      <c r="AE4" s="439" t="s">
        <v>23</v>
      </c>
      <c r="AF4" s="454"/>
      <c r="AG4" s="439" t="s">
        <v>3</v>
      </c>
      <c r="AH4" s="439" t="s">
        <v>23</v>
      </c>
      <c r="AJ4" s="355" t="s">
        <v>19</v>
      </c>
      <c r="AK4" s="355" t="s">
        <v>20</v>
      </c>
      <c r="AL4" s="355" t="s">
        <v>19</v>
      </c>
      <c r="AM4" s="355" t="s">
        <v>20</v>
      </c>
      <c r="AN4" s="355" t="s">
        <v>19</v>
      </c>
      <c r="AO4" s="355" t="s">
        <v>19</v>
      </c>
      <c r="AP4" s="355" t="s">
        <v>20</v>
      </c>
    </row>
    <row r="5" spans="2:42" ht="19.95" customHeight="1" x14ac:dyDescent="0.3">
      <c r="B5" s="455">
        <v>1</v>
      </c>
      <c r="C5" s="97" t="s">
        <v>37</v>
      </c>
      <c r="D5" s="102"/>
      <c r="E5" s="102"/>
      <c r="F5" s="102"/>
      <c r="G5" s="102"/>
      <c r="H5" s="102"/>
      <c r="I5" s="102"/>
      <c r="J5" s="424"/>
      <c r="K5" s="425"/>
      <c r="L5" s="425"/>
      <c r="M5" s="424"/>
      <c r="N5" s="425"/>
      <c r="O5" s="425"/>
      <c r="P5" s="424"/>
      <c r="Q5" s="425"/>
      <c r="R5" s="425"/>
      <c r="S5" s="426"/>
      <c r="T5" s="426"/>
      <c r="U5" s="102"/>
      <c r="V5" s="454"/>
      <c r="W5" s="102"/>
      <c r="X5" s="102"/>
      <c r="Y5" s="102"/>
      <c r="Z5" s="102"/>
      <c r="AA5" s="102"/>
      <c r="AB5" s="102"/>
      <c r="AC5" s="454"/>
      <c r="AD5" s="102"/>
      <c r="AE5" s="102"/>
      <c r="AF5" s="454"/>
      <c r="AG5" s="102"/>
      <c r="AH5" s="102"/>
      <c r="AJ5" s="301"/>
      <c r="AK5" s="301"/>
      <c r="AL5" s="301"/>
      <c r="AM5" s="301"/>
      <c r="AN5" s="299"/>
      <c r="AO5" s="301"/>
      <c r="AP5" s="301"/>
    </row>
    <row r="6" spans="2:42" ht="19.95" customHeight="1" x14ac:dyDescent="0.3">
      <c r="B6" s="92"/>
      <c r="C6" s="95" t="s">
        <v>33</v>
      </c>
      <c r="D6" s="98">
        <v>0.66700000000000004</v>
      </c>
      <c r="E6" s="456">
        <v>1</v>
      </c>
      <c r="F6" s="457">
        <v>1</v>
      </c>
      <c r="G6" s="458">
        <f>(5.863+0.396+8.012+0.432+8.039+0.414+8.025+0.428+8.525+0.373+6.44+0.356+15.333+0.525+7.762+1.31+8.913+0.617+55.741)*3.281</f>
        <v>451.15062400000011</v>
      </c>
      <c r="H6" s="102">
        <f t="shared" ref="H6" si="0">+D6</f>
        <v>0.66700000000000004</v>
      </c>
      <c r="I6" s="102"/>
      <c r="J6" s="424">
        <v>4</v>
      </c>
      <c r="K6" s="425">
        <f t="shared" ref="K6" si="1">+IF(D6=0.667,E6*F6*G6*H6*J6,0)</f>
        <v>1203.6698648320003</v>
      </c>
      <c r="L6" s="425">
        <f t="shared" ref="L6" si="2">+IF(D6=0.333,E6*F6*G6*J6,0)</f>
        <v>0</v>
      </c>
      <c r="M6" s="424"/>
      <c r="N6" s="425">
        <f t="shared" ref="N6" si="3">+IF(D6=0.667,E6*F6*G6*H6*M6,0)</f>
        <v>0</v>
      </c>
      <c r="O6" s="425">
        <f t="shared" ref="O6" si="4">+IF(D6=0.333,E6*F6*G6*M6,0)</f>
        <v>0</v>
      </c>
      <c r="P6" s="424"/>
      <c r="Q6" s="425">
        <f t="shared" ref="Q6" si="5">+IF(D6=0.667,E6*F6*G6*H6*P6,0)</f>
        <v>0</v>
      </c>
      <c r="R6" s="425">
        <f t="shared" ref="R6" si="6">+IF(D6=0.333,E6*F6*G6*P6,0)</f>
        <v>0</v>
      </c>
      <c r="S6" s="426">
        <f t="shared" ref="S6" si="7">+Q6+N6+K6</f>
        <v>1203.6698648320003</v>
      </c>
      <c r="T6" s="426">
        <f t="shared" ref="T6" si="8">+R6+O6+L6</f>
        <v>0</v>
      </c>
      <c r="U6" s="102"/>
      <c r="V6" s="454"/>
      <c r="W6" s="102"/>
      <c r="X6" s="102"/>
      <c r="Y6" s="102">
        <f t="shared" ref="Y6" si="9">+IF(D6=0.667,F6*H6*W6*X6,0)</f>
        <v>0</v>
      </c>
      <c r="Z6" s="102">
        <f t="shared" ref="Z6" si="10">+IF(D6=0.333,F6*H6*W6*X6,0)</f>
        <v>0</v>
      </c>
      <c r="AA6" s="102"/>
      <c r="AB6" s="102"/>
      <c r="AC6" s="454"/>
      <c r="AD6" s="102"/>
      <c r="AE6" s="102"/>
      <c r="AF6" s="454"/>
      <c r="AG6" s="102"/>
      <c r="AH6" s="102"/>
      <c r="AJ6" s="301">
        <f>+IF(C6=0.667,D6*E6*F6,0)</f>
        <v>0</v>
      </c>
      <c r="AK6" s="301">
        <f>+IF(C6=0.333,D6*E6*F6,0)</f>
        <v>0</v>
      </c>
      <c r="AL6" s="301">
        <f>+S6</f>
        <v>1203.6698648320003</v>
      </c>
      <c r="AM6" s="301">
        <f>+T6</f>
        <v>0</v>
      </c>
      <c r="AN6" s="299"/>
      <c r="AO6" s="301"/>
      <c r="AP6" s="301"/>
    </row>
    <row r="7" spans="2:42" ht="19.95" customHeight="1" x14ac:dyDescent="0.3">
      <c r="B7" s="92"/>
      <c r="C7" s="95" t="s">
        <v>31</v>
      </c>
      <c r="D7" s="98">
        <v>0.66700000000000004</v>
      </c>
      <c r="E7" s="456">
        <v>1</v>
      </c>
      <c r="F7" s="457">
        <v>1</v>
      </c>
      <c r="G7" s="458">
        <f>(19.54)*3.281</f>
        <v>64.110740000000007</v>
      </c>
      <c r="H7" s="102">
        <f t="shared" ref="H7" si="11">+D7</f>
        <v>0.66700000000000004</v>
      </c>
      <c r="I7" s="102"/>
      <c r="J7" s="424">
        <v>4</v>
      </c>
      <c r="K7" s="425">
        <f t="shared" ref="K7" si="12">+IF(D7=0.667,E7*F7*G7*H7*J7,0)</f>
        <v>171.04745432000001</v>
      </c>
      <c r="L7" s="425">
        <f t="shared" ref="L7" si="13">+IF(D7=0.333,E7*F7*G7*J7,0)</f>
        <v>0</v>
      </c>
      <c r="M7" s="424"/>
      <c r="N7" s="425">
        <f t="shared" ref="N7" si="14">+IF(D7=0.667,E7*F7*G7*H7*M7,0)</f>
        <v>0</v>
      </c>
      <c r="O7" s="425">
        <f t="shared" ref="O7" si="15">+IF(D7=0.333,E7*F7*G7*M7,0)</f>
        <v>0</v>
      </c>
      <c r="P7" s="424"/>
      <c r="Q7" s="425">
        <f t="shared" ref="Q7" si="16">+IF(D7=0.667,E7*F7*G7*H7*P7,0)</f>
        <v>0</v>
      </c>
      <c r="R7" s="425">
        <f t="shared" ref="R7" si="17">+IF(D7=0.333,E7*F7*G7*P7,0)</f>
        <v>0</v>
      </c>
      <c r="S7" s="426">
        <f t="shared" ref="S7" si="18">+Q7+N7+K7</f>
        <v>171.04745432000001</v>
      </c>
      <c r="T7" s="426">
        <f t="shared" ref="T7" si="19">+R7+O7+L7</f>
        <v>0</v>
      </c>
      <c r="U7" s="102"/>
      <c r="V7" s="454"/>
      <c r="W7" s="102"/>
      <c r="X7" s="102"/>
      <c r="Y7" s="102">
        <f t="shared" ref="Y7" si="20">+IF(D7=0.667,F7*H7*W7*X7,0)</f>
        <v>0</v>
      </c>
      <c r="Z7" s="102">
        <f t="shared" ref="Z7" si="21">+IF(D7=0.333,F7*H7*W7*X7,0)</f>
        <v>0</v>
      </c>
      <c r="AA7" s="102"/>
      <c r="AB7" s="102"/>
      <c r="AC7" s="454"/>
      <c r="AD7" s="102"/>
      <c r="AE7" s="102"/>
      <c r="AF7" s="454"/>
      <c r="AG7" s="102"/>
      <c r="AH7" s="102"/>
      <c r="AJ7" s="301"/>
      <c r="AK7" s="301">
        <f t="shared" ref="AK7:AK37" si="22">+IF(C7=0.333,D7*E7*F7,0)</f>
        <v>0</v>
      </c>
      <c r="AL7" s="301">
        <f>+S7</f>
        <v>171.04745432000001</v>
      </c>
      <c r="AM7" s="301">
        <f t="shared" ref="AM7:AM8" si="23">+T7</f>
        <v>0</v>
      </c>
      <c r="AN7" s="299"/>
      <c r="AO7" s="301"/>
      <c r="AP7" s="301"/>
    </row>
    <row r="8" spans="2:42" ht="19.95" customHeight="1" x14ac:dyDescent="0.3">
      <c r="B8" s="92"/>
      <c r="C8" s="95" t="s">
        <v>32</v>
      </c>
      <c r="D8" s="98">
        <v>0.66700000000000004</v>
      </c>
      <c r="E8" s="456">
        <v>1</v>
      </c>
      <c r="F8" s="457">
        <v>1</v>
      </c>
      <c r="G8" s="458">
        <f>(9.351+3.855+6.03+28.96+1.21+14.09+3.16+38.43+9.17+31.084)*3.281</f>
        <v>476.86053999999996</v>
      </c>
      <c r="H8" s="102">
        <f t="shared" ref="H8:H9" si="24">+D8</f>
        <v>0.66700000000000004</v>
      </c>
      <c r="I8" s="102"/>
      <c r="J8" s="424">
        <v>4</v>
      </c>
      <c r="K8" s="425">
        <f t="shared" ref="K8:K9" si="25">+IF(D8=0.667,E8*F8*G8*H8*J8,0)</f>
        <v>1272.26392072</v>
      </c>
      <c r="L8" s="425">
        <f t="shared" ref="L8:L9" si="26">+IF(D8=0.333,E8*F8*G8*J8,0)</f>
        <v>0</v>
      </c>
      <c r="M8" s="424"/>
      <c r="N8" s="425">
        <f t="shared" ref="N8:N9" si="27">+IF(D8=0.667,E8*F8*G8*H8*M8,0)</f>
        <v>0</v>
      </c>
      <c r="O8" s="425">
        <f t="shared" ref="O8:O9" si="28">+IF(D8=0.333,E8*F8*G8*M8,0)</f>
        <v>0</v>
      </c>
      <c r="P8" s="424"/>
      <c r="Q8" s="425">
        <f t="shared" ref="Q8:Q9" si="29">+IF(D8=0.667,E8*F8*G8*H8*P8,0)</f>
        <v>0</v>
      </c>
      <c r="R8" s="425">
        <f t="shared" ref="R8:R9" si="30">+IF(D8=0.333,E8*F8*G8*P8,0)</f>
        <v>0</v>
      </c>
      <c r="S8" s="426">
        <f t="shared" ref="S8:S9" si="31">+Q8+N8+K8</f>
        <v>1272.26392072</v>
      </c>
      <c r="T8" s="426">
        <f t="shared" ref="T8:T9" si="32">+R8+O8+L8</f>
        <v>0</v>
      </c>
      <c r="U8" s="102"/>
      <c r="V8" s="454"/>
      <c r="W8" s="102"/>
      <c r="X8" s="102"/>
      <c r="Y8" s="102">
        <f t="shared" ref="Y8:Y9" si="33">+IF(D8=0.667,F8*H8*W8*X8,0)</f>
        <v>0</v>
      </c>
      <c r="Z8" s="102">
        <f t="shared" ref="Z8:Z9" si="34">+IF(D8=0.333,F8*H8*W8*X8,0)</f>
        <v>0</v>
      </c>
      <c r="AA8" s="102"/>
      <c r="AB8" s="102"/>
      <c r="AC8" s="454"/>
      <c r="AD8" s="102"/>
      <c r="AE8" s="102"/>
      <c r="AF8" s="454"/>
      <c r="AG8" s="102"/>
      <c r="AH8" s="102"/>
      <c r="AJ8" s="301"/>
      <c r="AK8" s="301">
        <f t="shared" si="22"/>
        <v>0</v>
      </c>
      <c r="AL8" s="301">
        <f>+S8</f>
        <v>1272.26392072</v>
      </c>
      <c r="AM8" s="301">
        <f t="shared" si="23"/>
        <v>0</v>
      </c>
      <c r="AN8" s="299"/>
      <c r="AO8" s="301"/>
      <c r="AP8" s="301"/>
    </row>
    <row r="9" spans="2:42" ht="19.95" customHeight="1" x14ac:dyDescent="0.3">
      <c r="B9" s="92"/>
      <c r="C9" s="95" t="s">
        <v>38</v>
      </c>
      <c r="D9" s="98">
        <v>0.66700000000000004</v>
      </c>
      <c r="E9" s="456">
        <v>1</v>
      </c>
      <c r="F9" s="457">
        <v>1</v>
      </c>
      <c r="G9" s="557">
        <f>+(36.901+0.2+0.2)*3.281</f>
        <v>122.38458100000004</v>
      </c>
      <c r="H9" s="102">
        <f t="shared" si="24"/>
        <v>0.66700000000000004</v>
      </c>
      <c r="I9" s="102"/>
      <c r="J9" s="424">
        <v>4</v>
      </c>
      <c r="K9" s="425">
        <f t="shared" si="25"/>
        <v>326.52206210800011</v>
      </c>
      <c r="L9" s="425">
        <f t="shared" si="26"/>
        <v>0</v>
      </c>
      <c r="M9" s="424"/>
      <c r="N9" s="425">
        <f t="shared" si="27"/>
        <v>0</v>
      </c>
      <c r="O9" s="425">
        <f t="shared" si="28"/>
        <v>0</v>
      </c>
      <c r="P9" s="424"/>
      <c r="Q9" s="425">
        <f t="shared" si="29"/>
        <v>0</v>
      </c>
      <c r="R9" s="425">
        <f t="shared" si="30"/>
        <v>0</v>
      </c>
      <c r="S9" s="426">
        <f t="shared" si="31"/>
        <v>326.52206210800011</v>
      </c>
      <c r="T9" s="426">
        <f t="shared" si="32"/>
        <v>0</v>
      </c>
      <c r="U9" s="102"/>
      <c r="V9" s="459"/>
      <c r="W9" s="102"/>
      <c r="X9" s="102"/>
      <c r="Y9" s="102">
        <f t="shared" si="33"/>
        <v>0</v>
      </c>
      <c r="Z9" s="102">
        <f t="shared" si="34"/>
        <v>0</v>
      </c>
      <c r="AA9" s="102"/>
      <c r="AB9" s="102"/>
      <c r="AC9" s="454"/>
      <c r="AD9" s="102"/>
      <c r="AE9" s="102"/>
      <c r="AF9" s="454"/>
      <c r="AG9" s="102"/>
      <c r="AH9" s="102"/>
      <c r="AJ9" s="301"/>
      <c r="AK9" s="301"/>
      <c r="AL9" s="301">
        <f>+S9</f>
        <v>326.52206210800011</v>
      </c>
      <c r="AM9" s="301"/>
      <c r="AN9" s="299"/>
      <c r="AO9" s="301"/>
      <c r="AP9" s="301"/>
    </row>
    <row r="10" spans="2:42" ht="19.95" customHeight="1" x14ac:dyDescent="0.3">
      <c r="B10" s="92">
        <v>2</v>
      </c>
      <c r="C10" s="97" t="s">
        <v>44</v>
      </c>
      <c r="D10" s="102"/>
      <c r="E10" s="102"/>
      <c r="F10" s="102"/>
      <c r="G10" s="102"/>
      <c r="H10" s="102"/>
      <c r="I10" s="102"/>
      <c r="J10" s="424"/>
      <c r="K10" s="425"/>
      <c r="L10" s="425"/>
      <c r="M10" s="424"/>
      <c r="N10" s="425"/>
      <c r="O10" s="425"/>
      <c r="P10" s="424"/>
      <c r="Q10" s="425"/>
      <c r="R10" s="425"/>
      <c r="S10" s="426"/>
      <c r="T10" s="426"/>
      <c r="U10" s="102"/>
      <c r="V10" s="459"/>
      <c r="W10" s="102"/>
      <c r="X10" s="102"/>
      <c r="Y10" s="102"/>
      <c r="Z10" s="102"/>
      <c r="AA10" s="102"/>
      <c r="AB10" s="102"/>
      <c r="AC10" s="459"/>
      <c r="AD10" s="94"/>
      <c r="AE10" s="459"/>
      <c r="AF10" s="94"/>
      <c r="AG10" s="94"/>
      <c r="AH10" s="95"/>
      <c r="AJ10" s="301">
        <f t="shared" ref="AJ10:AJ11" si="35">+IF(C10=0.667,D10*E10*F10,0)</f>
        <v>0</v>
      </c>
      <c r="AK10" s="301">
        <f t="shared" si="22"/>
        <v>0</v>
      </c>
      <c r="AL10" s="301"/>
      <c r="AM10" s="301"/>
      <c r="AN10" s="299"/>
      <c r="AO10" s="301"/>
      <c r="AP10" s="301"/>
    </row>
    <row r="11" spans="2:42" ht="19.95" customHeight="1" x14ac:dyDescent="0.3">
      <c r="B11" s="92"/>
      <c r="C11" s="95" t="s">
        <v>249</v>
      </c>
      <c r="D11" s="98">
        <v>0.33300000000000002</v>
      </c>
      <c r="E11" s="456">
        <v>1</v>
      </c>
      <c r="F11" s="457">
        <v>1</v>
      </c>
      <c r="G11" s="458">
        <f>0.9*3.281</f>
        <v>2.9529000000000001</v>
      </c>
      <c r="H11" s="102">
        <f t="shared" ref="H11:H12" si="36">+D11</f>
        <v>0.33300000000000002</v>
      </c>
      <c r="I11" s="102"/>
      <c r="J11" s="424">
        <v>4</v>
      </c>
      <c r="K11" s="425">
        <f t="shared" ref="K11:K12" si="37">+IF(D11=0.667,E11*F11*G11*H11*J11,0)</f>
        <v>0</v>
      </c>
      <c r="L11" s="425">
        <f t="shared" ref="L11:L12" si="38">+IF(D11=0.333,E11*F11*G11*J11,0)</f>
        <v>11.8116</v>
      </c>
      <c r="M11" s="424"/>
      <c r="N11" s="425">
        <f t="shared" ref="N11:N12" si="39">+IF(D11=0.667,E11*F11*G11*H11*M11,0)</f>
        <v>0</v>
      </c>
      <c r="O11" s="425">
        <f t="shared" ref="O11:O12" si="40">+IF(D11=0.333,E11*F11*G11*M11,0)</f>
        <v>0</v>
      </c>
      <c r="P11" s="424"/>
      <c r="Q11" s="425">
        <f t="shared" ref="Q11:Q12" si="41">+IF(D11=0.667,E11*F11*G11*H11*P11,0)</f>
        <v>0</v>
      </c>
      <c r="R11" s="425">
        <f t="shared" ref="R11:R12" si="42">+IF(D11=0.333,E11*F11*G11*P11,0)</f>
        <v>0</v>
      </c>
      <c r="S11" s="426">
        <f t="shared" ref="S11:S12" si="43">+Q11+N11+K11</f>
        <v>0</v>
      </c>
      <c r="T11" s="426">
        <f t="shared" ref="T11:T12" si="44">+R11+O11+L11</f>
        <v>11.8116</v>
      </c>
      <c r="U11" s="102"/>
      <c r="V11" s="454"/>
      <c r="W11" s="102"/>
      <c r="X11" s="102"/>
      <c r="Y11" s="102">
        <f t="shared" ref="Y11:Y12" si="45">+IF(D11=0.667,F11*H11*W11*X11,0)</f>
        <v>0</v>
      </c>
      <c r="Z11" s="102">
        <f t="shared" ref="Z11:Z12" si="46">+IF(D11=0.333,F11*H11*W11*X11,0)</f>
        <v>0</v>
      </c>
      <c r="AA11" s="102"/>
      <c r="AB11" s="102"/>
      <c r="AC11" s="454"/>
      <c r="AD11" s="102"/>
      <c r="AE11" s="102"/>
      <c r="AF11" s="454"/>
      <c r="AG11" s="102"/>
      <c r="AH11" s="102"/>
      <c r="AJ11" s="301">
        <f t="shared" si="35"/>
        <v>0</v>
      </c>
      <c r="AK11" s="301">
        <f>+IF(D11=0.333,E11*F11*G11,0)</f>
        <v>2.9529000000000001</v>
      </c>
      <c r="AL11" s="301">
        <f>+IF(C11=0.667,1.33,0)</f>
        <v>0</v>
      </c>
      <c r="AM11" s="301"/>
      <c r="AN11" s="299"/>
      <c r="AO11" s="301"/>
      <c r="AP11" s="301"/>
    </row>
    <row r="12" spans="2:42" ht="19.95" customHeight="1" x14ac:dyDescent="0.3">
      <c r="B12" s="92"/>
      <c r="C12" s="95"/>
      <c r="D12" s="98">
        <v>0.66700000000000004</v>
      </c>
      <c r="E12" s="456">
        <v>1</v>
      </c>
      <c r="F12" s="457">
        <v>1</v>
      </c>
      <c r="G12" s="458">
        <f>(0.9+2.85)*3.281</f>
        <v>12.303750000000001</v>
      </c>
      <c r="H12" s="102">
        <f t="shared" si="36"/>
        <v>0.66700000000000004</v>
      </c>
      <c r="I12" s="102"/>
      <c r="J12" s="424">
        <v>4</v>
      </c>
      <c r="K12" s="425">
        <f t="shared" si="37"/>
        <v>32.826405000000001</v>
      </c>
      <c r="L12" s="425">
        <f t="shared" si="38"/>
        <v>0</v>
      </c>
      <c r="M12" s="424"/>
      <c r="N12" s="425">
        <f t="shared" si="39"/>
        <v>0</v>
      </c>
      <c r="O12" s="425">
        <f t="shared" si="40"/>
        <v>0</v>
      </c>
      <c r="P12" s="424"/>
      <c r="Q12" s="425">
        <f t="shared" si="41"/>
        <v>0</v>
      </c>
      <c r="R12" s="425">
        <f t="shared" si="42"/>
        <v>0</v>
      </c>
      <c r="S12" s="426">
        <f t="shared" si="43"/>
        <v>32.826405000000001</v>
      </c>
      <c r="T12" s="426">
        <f t="shared" si="44"/>
        <v>0</v>
      </c>
      <c r="U12" s="102"/>
      <c r="V12" s="459"/>
      <c r="W12" s="102"/>
      <c r="X12" s="102"/>
      <c r="Y12" s="102">
        <f t="shared" si="45"/>
        <v>0</v>
      </c>
      <c r="Z12" s="102">
        <f t="shared" si="46"/>
        <v>0</v>
      </c>
      <c r="AA12" s="102"/>
      <c r="AB12" s="102"/>
      <c r="AC12" s="454"/>
      <c r="AD12" s="102"/>
      <c r="AE12" s="102"/>
      <c r="AF12" s="454"/>
      <c r="AG12" s="102"/>
      <c r="AH12" s="102"/>
      <c r="AJ12" s="301">
        <f>+IF(D12=0.667,E12*F12*G12,0)</f>
        <v>12.303750000000001</v>
      </c>
      <c r="AK12" s="301">
        <f t="shared" ref="AK12:AK22" si="47">+IF(D12=0.333,E12*F12*G12,0)</f>
        <v>0</v>
      </c>
      <c r="AL12" s="301"/>
      <c r="AM12" s="301"/>
      <c r="AN12" s="299"/>
      <c r="AO12" s="301"/>
      <c r="AP12" s="301"/>
    </row>
    <row r="13" spans="2:42" ht="19.95" customHeight="1" x14ac:dyDescent="0.3">
      <c r="B13" s="92">
        <v>3</v>
      </c>
      <c r="C13" s="97" t="s">
        <v>43</v>
      </c>
      <c r="D13" s="102"/>
      <c r="E13" s="102"/>
      <c r="F13" s="102"/>
      <c r="G13" s="102"/>
      <c r="H13" s="102"/>
      <c r="I13" s="102"/>
      <c r="J13" s="424"/>
      <c r="K13" s="425"/>
      <c r="L13" s="425"/>
      <c r="M13" s="424"/>
      <c r="N13" s="425"/>
      <c r="O13" s="425"/>
      <c r="P13" s="424"/>
      <c r="Q13" s="425"/>
      <c r="R13" s="425"/>
      <c r="S13" s="426"/>
      <c r="T13" s="426"/>
      <c r="U13" s="102"/>
      <c r="V13" s="459"/>
      <c r="W13" s="102"/>
      <c r="X13" s="102"/>
      <c r="Y13" s="102"/>
      <c r="Z13" s="102"/>
      <c r="AA13" s="102"/>
      <c r="AB13" s="102"/>
      <c r="AC13" s="459"/>
      <c r="AD13" s="94"/>
      <c r="AE13" s="459"/>
      <c r="AF13" s="94"/>
      <c r="AG13" s="94"/>
      <c r="AH13" s="95"/>
      <c r="AJ13" s="301">
        <f>+IF(D13=0.667,E13*F13*G13,0)</f>
        <v>0</v>
      </c>
      <c r="AK13" s="301">
        <f t="shared" si="47"/>
        <v>0</v>
      </c>
      <c r="AL13" s="301"/>
      <c r="AM13" s="301"/>
      <c r="AN13" s="299"/>
      <c r="AO13" s="301"/>
      <c r="AP13" s="301"/>
    </row>
    <row r="14" spans="2:42" ht="19.95" customHeight="1" x14ac:dyDescent="0.3">
      <c r="B14" s="92"/>
      <c r="C14" s="95" t="s">
        <v>400</v>
      </c>
      <c r="D14" s="98">
        <v>0.66700000000000004</v>
      </c>
      <c r="E14" s="456">
        <v>1</v>
      </c>
      <c r="F14" s="457">
        <v>1</v>
      </c>
      <c r="G14" s="458">
        <f>(1.9+2.03+1.507+1.205)*3.281</f>
        <v>21.792401999999999</v>
      </c>
      <c r="H14" s="102">
        <f t="shared" ref="H14" si="48">+D14</f>
        <v>0.66700000000000004</v>
      </c>
      <c r="I14" s="102"/>
      <c r="J14" s="424">
        <v>4</v>
      </c>
      <c r="K14" s="425">
        <f t="shared" ref="K14" si="49">+IF(D14=0.667,E14*F14*G14*H14*J14,0)</f>
        <v>58.142128536000001</v>
      </c>
      <c r="L14" s="425">
        <f t="shared" ref="L14" si="50">+IF(D14=0.333,E14*F14*G14*J14,0)</f>
        <v>0</v>
      </c>
      <c r="M14" s="424"/>
      <c r="N14" s="425">
        <f t="shared" ref="N14" si="51">+IF(D14=0.667,E14*F14*G14*H14*M14,0)</f>
        <v>0</v>
      </c>
      <c r="O14" s="425">
        <f t="shared" ref="O14" si="52">+IF(D14=0.333,E14*F14*G14*M14,0)</f>
        <v>0</v>
      </c>
      <c r="P14" s="424"/>
      <c r="Q14" s="425">
        <f t="shared" ref="Q14" si="53">+IF(D14=0.667,E14*F14*G14*H14*P14,0)</f>
        <v>0</v>
      </c>
      <c r="R14" s="425">
        <f t="shared" ref="R14" si="54">+IF(D14=0.333,E14*F14*G14*P14,0)</f>
        <v>0</v>
      </c>
      <c r="S14" s="426">
        <f t="shared" ref="S14" si="55">+Q14+N14+K14</f>
        <v>58.142128536000001</v>
      </c>
      <c r="T14" s="426">
        <f t="shared" ref="T14" si="56">+R14+O14+L14</f>
        <v>0</v>
      </c>
      <c r="U14" s="102"/>
      <c r="V14" s="454"/>
      <c r="W14" s="102"/>
      <c r="X14" s="102"/>
      <c r="Y14" s="102">
        <f t="shared" ref="Y14" si="57">+IF(D14=0.667,F14*H14*W14*X14,0)</f>
        <v>0</v>
      </c>
      <c r="Z14" s="102">
        <f t="shared" ref="Z14" si="58">+IF(D14=0.333,F14*H14*W14*X14,0)</f>
        <v>0</v>
      </c>
      <c r="AA14" s="102"/>
      <c r="AB14" s="102"/>
      <c r="AC14" s="454"/>
      <c r="AD14" s="102"/>
      <c r="AE14" s="102"/>
      <c r="AF14" s="454"/>
      <c r="AG14" s="102"/>
      <c r="AH14" s="102"/>
      <c r="AJ14" s="301">
        <f t="shared" ref="AJ14:AJ39" si="59">+IF(D14=0.667,E14*F14*G14,0)</f>
        <v>21.792401999999999</v>
      </c>
      <c r="AK14" s="301">
        <f t="shared" si="47"/>
        <v>0</v>
      </c>
      <c r="AL14" s="301"/>
      <c r="AM14" s="301"/>
      <c r="AN14" s="299"/>
      <c r="AO14" s="301"/>
      <c r="AP14" s="301"/>
    </row>
    <row r="15" spans="2:42" ht="19.95" customHeight="1" x14ac:dyDescent="0.3">
      <c r="B15" s="92"/>
      <c r="C15" s="95" t="s">
        <v>250</v>
      </c>
      <c r="D15" s="98">
        <v>0.66700000000000004</v>
      </c>
      <c r="E15" s="456">
        <v>1</v>
      </c>
      <c r="F15" s="457">
        <v>1</v>
      </c>
      <c r="G15" s="458">
        <f>(4.4+0.9+4.4)*3.281</f>
        <v>31.825700000000005</v>
      </c>
      <c r="H15" s="102">
        <f t="shared" ref="H15" si="60">+D15</f>
        <v>0.66700000000000004</v>
      </c>
      <c r="I15" s="102"/>
      <c r="J15" s="424">
        <v>4</v>
      </c>
      <c r="K15" s="425">
        <f t="shared" ref="K15" si="61">+IF(D15=0.667,E15*F15*G15*H15*J15,0)</f>
        <v>84.910967600000021</v>
      </c>
      <c r="L15" s="425">
        <f t="shared" ref="L15" si="62">+IF(D15=0.333,E15*F15*G15*J15,0)</f>
        <v>0</v>
      </c>
      <c r="M15" s="424"/>
      <c r="N15" s="425">
        <f t="shared" ref="N15" si="63">+IF(D15=0.667,E15*F15*G15*H15*M15,0)</f>
        <v>0</v>
      </c>
      <c r="O15" s="425">
        <f t="shared" ref="O15" si="64">+IF(D15=0.333,E15*F15*G15*M15,0)</f>
        <v>0</v>
      </c>
      <c r="P15" s="424"/>
      <c r="Q15" s="425">
        <f t="shared" ref="Q15" si="65">+IF(D15=0.667,E15*F15*G15*H15*P15,0)</f>
        <v>0</v>
      </c>
      <c r="R15" s="425">
        <f t="shared" ref="R15" si="66">+IF(D15=0.333,E15*F15*G15*P15,0)</f>
        <v>0</v>
      </c>
      <c r="S15" s="426">
        <f t="shared" ref="S15" si="67">+Q15+N15+K15</f>
        <v>84.910967600000021</v>
      </c>
      <c r="T15" s="426">
        <f t="shared" ref="T15" si="68">+R15+O15+L15</f>
        <v>0</v>
      </c>
      <c r="U15" s="102"/>
      <c r="V15" s="454"/>
      <c r="W15" s="102"/>
      <c r="X15" s="102"/>
      <c r="Y15" s="102">
        <f t="shared" ref="Y15" si="69">+IF(D15=0.667,F15*H15*W15*X15,0)</f>
        <v>0</v>
      </c>
      <c r="Z15" s="102">
        <f t="shared" ref="Z15" si="70">+IF(D15=0.333,F15*H15*W15*X15,0)</f>
        <v>0</v>
      </c>
      <c r="AA15" s="102"/>
      <c r="AB15" s="102"/>
      <c r="AC15" s="454"/>
      <c r="AD15" s="102"/>
      <c r="AE15" s="102"/>
      <c r="AF15" s="454"/>
      <c r="AG15" s="102"/>
      <c r="AH15" s="102"/>
      <c r="AJ15" s="301">
        <f t="shared" si="59"/>
        <v>31.825700000000005</v>
      </c>
      <c r="AK15" s="301">
        <f t="shared" si="47"/>
        <v>0</v>
      </c>
      <c r="AL15" s="301"/>
      <c r="AM15" s="301">
        <f>+IF(C15=0.333,1,0)</f>
        <v>0</v>
      </c>
      <c r="AN15" s="299"/>
      <c r="AO15" s="301"/>
      <c r="AP15" s="301"/>
    </row>
    <row r="16" spans="2:42" ht="19.95" customHeight="1" x14ac:dyDescent="0.3">
      <c r="B16" s="92"/>
      <c r="C16" s="95" t="s">
        <v>251</v>
      </c>
      <c r="D16" s="98">
        <v>0.66700000000000004</v>
      </c>
      <c r="E16" s="456">
        <v>1</v>
      </c>
      <c r="F16" s="457">
        <v>1</v>
      </c>
      <c r="G16" s="458">
        <f>(1.625+2.21+1.625)*3.281</f>
        <v>17.914260000000002</v>
      </c>
      <c r="H16" s="102">
        <f t="shared" ref="H16:H17" si="71">+D16</f>
        <v>0.66700000000000004</v>
      </c>
      <c r="I16" s="102"/>
      <c r="J16" s="424">
        <v>4</v>
      </c>
      <c r="K16" s="425">
        <f t="shared" ref="K16:K17" si="72">+IF(D16=0.667,E16*F16*G16*H16*J16,0)</f>
        <v>47.795245680000008</v>
      </c>
      <c r="L16" s="425">
        <f t="shared" ref="L16:L17" si="73">+IF(D16=0.333,E16*F16*G16*J16,0)</f>
        <v>0</v>
      </c>
      <c r="M16" s="424"/>
      <c r="N16" s="425">
        <f t="shared" ref="N16:N17" si="74">+IF(D16=0.667,E16*F16*G16*H16*M16,0)</f>
        <v>0</v>
      </c>
      <c r="O16" s="425">
        <f t="shared" ref="O16:O17" si="75">+IF(D16=0.333,E16*F16*G16*M16,0)</f>
        <v>0</v>
      </c>
      <c r="P16" s="424"/>
      <c r="Q16" s="425">
        <f t="shared" ref="Q16:Q17" si="76">+IF(D16=0.667,E16*F16*G16*H16*P16,0)</f>
        <v>0</v>
      </c>
      <c r="R16" s="425">
        <f t="shared" ref="R16:R17" si="77">+IF(D16=0.333,E16*F16*G16*P16,0)</f>
        <v>0</v>
      </c>
      <c r="S16" s="426">
        <f t="shared" ref="S16:S17" si="78">+Q16+N16+K16</f>
        <v>47.795245680000008</v>
      </c>
      <c r="T16" s="426">
        <f t="shared" ref="T16:T17" si="79">+R16+O16+L16</f>
        <v>0</v>
      </c>
      <c r="U16" s="102"/>
      <c r="V16" s="454"/>
      <c r="W16" s="102"/>
      <c r="X16" s="102"/>
      <c r="Y16" s="102">
        <f t="shared" ref="Y16:Y17" si="80">+IF(D16=0.667,F16*H16*W16*X16,0)</f>
        <v>0</v>
      </c>
      <c r="Z16" s="102">
        <f t="shared" ref="Z16:Z17" si="81">+IF(D16=0.333,F16*H16*W16*X16,0)</f>
        <v>0</v>
      </c>
      <c r="AA16" s="102"/>
      <c r="AB16" s="102"/>
      <c r="AC16" s="454"/>
      <c r="AD16" s="102"/>
      <c r="AE16" s="102"/>
      <c r="AF16" s="454"/>
      <c r="AG16" s="102"/>
      <c r="AH16" s="102"/>
      <c r="AJ16" s="301">
        <f t="shared" si="59"/>
        <v>17.914260000000002</v>
      </c>
      <c r="AK16" s="301">
        <f t="shared" si="47"/>
        <v>0</v>
      </c>
      <c r="AL16" s="301"/>
      <c r="AM16" s="301"/>
      <c r="AN16" s="299"/>
      <c r="AO16" s="301"/>
      <c r="AP16" s="301"/>
    </row>
    <row r="17" spans="2:42" ht="19.95" customHeight="1" x14ac:dyDescent="0.3">
      <c r="B17" s="92"/>
      <c r="C17" s="95" t="s">
        <v>252</v>
      </c>
      <c r="D17" s="98">
        <v>0.66700000000000004</v>
      </c>
      <c r="E17" s="456">
        <v>1</v>
      </c>
      <c r="F17" s="457">
        <v>1</v>
      </c>
      <c r="G17" s="458">
        <f>(2.23+1.178+1.178)*3.281</f>
        <v>15.046666000000002</v>
      </c>
      <c r="H17" s="102">
        <f t="shared" si="71"/>
        <v>0.66700000000000004</v>
      </c>
      <c r="I17" s="102"/>
      <c r="J17" s="424">
        <v>4</v>
      </c>
      <c r="K17" s="425">
        <f t="shared" si="72"/>
        <v>40.144504888000007</v>
      </c>
      <c r="L17" s="425">
        <f t="shared" si="73"/>
        <v>0</v>
      </c>
      <c r="M17" s="424"/>
      <c r="N17" s="425">
        <f t="shared" si="74"/>
        <v>0</v>
      </c>
      <c r="O17" s="425">
        <f t="shared" si="75"/>
        <v>0</v>
      </c>
      <c r="P17" s="424"/>
      <c r="Q17" s="425">
        <f t="shared" si="76"/>
        <v>0</v>
      </c>
      <c r="R17" s="425">
        <f t="shared" si="77"/>
        <v>0</v>
      </c>
      <c r="S17" s="426">
        <f t="shared" si="78"/>
        <v>40.144504888000007</v>
      </c>
      <c r="T17" s="426">
        <f t="shared" si="79"/>
        <v>0</v>
      </c>
      <c r="U17" s="102"/>
      <c r="V17" s="459"/>
      <c r="W17" s="102"/>
      <c r="X17" s="102"/>
      <c r="Y17" s="102">
        <f t="shared" si="80"/>
        <v>0</v>
      </c>
      <c r="Z17" s="102">
        <f t="shared" si="81"/>
        <v>0</v>
      </c>
      <c r="AA17" s="102"/>
      <c r="AB17" s="102"/>
      <c r="AC17" s="454"/>
      <c r="AD17" s="102"/>
      <c r="AE17" s="102"/>
      <c r="AF17" s="454"/>
      <c r="AG17" s="102"/>
      <c r="AH17" s="102"/>
      <c r="AJ17" s="301">
        <f t="shared" si="59"/>
        <v>15.046666000000002</v>
      </c>
      <c r="AK17" s="301">
        <f t="shared" si="47"/>
        <v>0</v>
      </c>
      <c r="AL17" s="301"/>
      <c r="AM17" s="301"/>
      <c r="AN17" s="299"/>
      <c r="AO17" s="301"/>
      <c r="AP17" s="301"/>
    </row>
    <row r="18" spans="2:42" ht="19.95" customHeight="1" x14ac:dyDescent="0.3">
      <c r="B18" s="92"/>
      <c r="C18" s="95" t="s">
        <v>253</v>
      </c>
      <c r="D18" s="98">
        <v>0.33300000000000002</v>
      </c>
      <c r="E18" s="456">
        <v>1</v>
      </c>
      <c r="F18" s="457">
        <v>1</v>
      </c>
      <c r="G18" s="458">
        <f>(1.765+1.88+1.88)*3.281</f>
        <v>18.127524999999999</v>
      </c>
      <c r="H18" s="102">
        <f t="shared" ref="H18" si="82">+D18</f>
        <v>0.33300000000000002</v>
      </c>
      <c r="I18" s="102"/>
      <c r="J18" s="424">
        <v>4</v>
      </c>
      <c r="K18" s="425">
        <f t="shared" ref="K18" si="83">+IF(D18=0.667,E18*F18*G18*H18*J18,0)</f>
        <v>0</v>
      </c>
      <c r="L18" s="425">
        <f t="shared" ref="L18" si="84">+IF(D18=0.333,E18*F18*G18*J18,0)</f>
        <v>72.510099999999994</v>
      </c>
      <c r="M18" s="424"/>
      <c r="N18" s="425">
        <f t="shared" ref="N18" si="85">+IF(D18=0.667,E18*F18*G18*H18*M18,0)</f>
        <v>0</v>
      </c>
      <c r="O18" s="425">
        <f t="shared" ref="O18" si="86">+IF(D18=0.333,E18*F18*G18*M18,0)</f>
        <v>0</v>
      </c>
      <c r="P18" s="424"/>
      <c r="Q18" s="425">
        <f t="shared" ref="Q18" si="87">+IF(D18=0.667,E18*F18*G18*H18*P18,0)</f>
        <v>0</v>
      </c>
      <c r="R18" s="425">
        <f t="shared" ref="R18" si="88">+IF(D18=0.333,E18*F18*G18*P18,0)</f>
        <v>0</v>
      </c>
      <c r="S18" s="426">
        <f t="shared" ref="S18" si="89">+Q18+N18+K18</f>
        <v>0</v>
      </c>
      <c r="T18" s="426">
        <f t="shared" ref="T18" si="90">+R18+O18+L18</f>
        <v>72.510099999999994</v>
      </c>
      <c r="U18" s="102"/>
      <c r="V18" s="454"/>
      <c r="W18" s="102"/>
      <c r="X18" s="102"/>
      <c r="Y18" s="102">
        <f t="shared" ref="Y18" si="91">+IF(D18=0.667,F18*H18*W18*X18,0)</f>
        <v>0</v>
      </c>
      <c r="Z18" s="102">
        <f t="shared" ref="Z18" si="92">+IF(D18=0.333,F18*H18*W18*X18,0)</f>
        <v>0</v>
      </c>
      <c r="AA18" s="102"/>
      <c r="AB18" s="102"/>
      <c r="AC18" s="454"/>
      <c r="AD18" s="102"/>
      <c r="AE18" s="102"/>
      <c r="AF18" s="454"/>
      <c r="AG18" s="102"/>
      <c r="AH18" s="102"/>
      <c r="AJ18" s="301">
        <f t="shared" si="59"/>
        <v>0</v>
      </c>
      <c r="AK18" s="301">
        <f t="shared" si="47"/>
        <v>18.127524999999999</v>
      </c>
      <c r="AL18" s="301"/>
      <c r="AM18" s="301"/>
      <c r="AN18" s="299"/>
      <c r="AO18" s="301"/>
      <c r="AP18" s="301"/>
    </row>
    <row r="19" spans="2:42" ht="19.95" customHeight="1" x14ac:dyDescent="0.3">
      <c r="B19" s="92"/>
      <c r="C19" s="95" t="s">
        <v>254</v>
      </c>
      <c r="D19" s="98">
        <v>0.33300000000000002</v>
      </c>
      <c r="E19" s="456">
        <v>1</v>
      </c>
      <c r="F19" s="457">
        <v>1</v>
      </c>
      <c r="G19" s="458">
        <f>(1.705+1.887+1.887)*3.281</f>
        <v>17.976599</v>
      </c>
      <c r="H19" s="102">
        <f t="shared" ref="H19" si="93">+D19</f>
        <v>0.33300000000000002</v>
      </c>
      <c r="I19" s="102"/>
      <c r="J19" s="424">
        <v>4</v>
      </c>
      <c r="K19" s="425">
        <f t="shared" ref="K19" si="94">+IF(D19=0.667,E19*F19*G19*H19*J19,0)</f>
        <v>0</v>
      </c>
      <c r="L19" s="425">
        <f t="shared" ref="L19" si="95">+IF(D19=0.333,E19*F19*G19*J19,0)</f>
        <v>71.906396000000001</v>
      </c>
      <c r="M19" s="424"/>
      <c r="N19" s="425">
        <f t="shared" ref="N19" si="96">+IF(D19=0.667,E19*F19*G19*H19*M19,0)</f>
        <v>0</v>
      </c>
      <c r="O19" s="425">
        <f t="shared" ref="O19" si="97">+IF(D19=0.333,E19*F19*G19*M19,0)</f>
        <v>0</v>
      </c>
      <c r="P19" s="424"/>
      <c r="Q19" s="425">
        <f t="shared" ref="Q19" si="98">+IF(D19=0.667,E19*F19*G19*H19*P19,0)</f>
        <v>0</v>
      </c>
      <c r="R19" s="425">
        <f t="shared" ref="R19" si="99">+IF(D19=0.333,E19*F19*G19*P19,0)</f>
        <v>0</v>
      </c>
      <c r="S19" s="426">
        <f t="shared" ref="S19" si="100">+Q19+N19+K19</f>
        <v>0</v>
      </c>
      <c r="T19" s="426">
        <f t="shared" ref="T19" si="101">+R19+O19+L19</f>
        <v>71.906396000000001</v>
      </c>
      <c r="U19" s="102"/>
      <c r="V19" s="454"/>
      <c r="W19" s="102"/>
      <c r="X19" s="102"/>
      <c r="Y19" s="102">
        <f t="shared" ref="Y19" si="102">+IF(D19=0.667,F19*H19*W19*X19,0)</f>
        <v>0</v>
      </c>
      <c r="Z19" s="102">
        <f t="shared" ref="Z19" si="103">+IF(D19=0.333,F19*H19*W19*X19,0)</f>
        <v>0</v>
      </c>
      <c r="AA19" s="102"/>
      <c r="AB19" s="102"/>
      <c r="AC19" s="454"/>
      <c r="AD19" s="102"/>
      <c r="AE19" s="102"/>
      <c r="AF19" s="454"/>
      <c r="AG19" s="102"/>
      <c r="AH19" s="102"/>
      <c r="AJ19" s="301">
        <f t="shared" si="59"/>
        <v>0</v>
      </c>
      <c r="AK19" s="301">
        <f t="shared" si="47"/>
        <v>17.976599</v>
      </c>
      <c r="AL19" s="301"/>
      <c r="AM19" s="301"/>
      <c r="AN19" s="299"/>
      <c r="AO19" s="301"/>
      <c r="AP19" s="301"/>
    </row>
    <row r="20" spans="2:42" ht="19.95" customHeight="1" x14ac:dyDescent="0.3">
      <c r="B20" s="92"/>
      <c r="C20" s="95" t="s">
        <v>255</v>
      </c>
      <c r="D20" s="98">
        <v>0.33300000000000002</v>
      </c>
      <c r="E20" s="456">
        <v>1</v>
      </c>
      <c r="F20" s="457">
        <v>1</v>
      </c>
      <c r="G20" s="458">
        <f>(3.71+2+3.51+4.73)*3.281</f>
        <v>45.769950000000001</v>
      </c>
      <c r="H20" s="102">
        <f t="shared" ref="H20" si="104">+D20</f>
        <v>0.33300000000000002</v>
      </c>
      <c r="I20" s="102"/>
      <c r="J20" s="424">
        <v>4</v>
      </c>
      <c r="K20" s="425">
        <f t="shared" ref="K20" si="105">+IF(D20=0.667,E20*F20*G20*H20*J20,0)</f>
        <v>0</v>
      </c>
      <c r="L20" s="425">
        <f t="shared" ref="L20" si="106">+IF(D20=0.333,E20*F20*G20*J20,0)</f>
        <v>183.07980000000001</v>
      </c>
      <c r="M20" s="424"/>
      <c r="N20" s="425">
        <f t="shared" ref="N20" si="107">+IF(D20=0.667,E20*F20*G20*H20*M20,0)</f>
        <v>0</v>
      </c>
      <c r="O20" s="425">
        <f t="shared" ref="O20" si="108">+IF(D20=0.333,E20*F20*G20*M20,0)</f>
        <v>0</v>
      </c>
      <c r="P20" s="424"/>
      <c r="Q20" s="425">
        <f t="shared" ref="Q20" si="109">+IF(D20=0.667,E20*F20*G20*H20*P20,0)</f>
        <v>0</v>
      </c>
      <c r="R20" s="425">
        <f t="shared" ref="R20" si="110">+IF(D20=0.333,E20*F20*G20*P20,0)</f>
        <v>0</v>
      </c>
      <c r="S20" s="426">
        <f t="shared" ref="S20" si="111">+Q20+N20+K20</f>
        <v>0</v>
      </c>
      <c r="T20" s="426">
        <f t="shared" ref="T20" si="112">+R20+O20+L20</f>
        <v>183.07980000000001</v>
      </c>
      <c r="U20" s="102"/>
      <c r="V20" s="454"/>
      <c r="W20" s="102"/>
      <c r="X20" s="102"/>
      <c r="Y20" s="102">
        <f t="shared" ref="Y20" si="113">+IF(D20=0.667,F20*H20*W20*X20,0)</f>
        <v>0</v>
      </c>
      <c r="Z20" s="102">
        <f t="shared" ref="Z20" si="114">+IF(D20=0.333,F20*H20*W20*X20,0)</f>
        <v>0</v>
      </c>
      <c r="AA20" s="102"/>
      <c r="AB20" s="102"/>
      <c r="AC20" s="454"/>
      <c r="AD20" s="102"/>
      <c r="AE20" s="102"/>
      <c r="AF20" s="454"/>
      <c r="AG20" s="102"/>
      <c r="AH20" s="102"/>
      <c r="AJ20" s="301">
        <f t="shared" si="59"/>
        <v>0</v>
      </c>
      <c r="AK20" s="301">
        <f t="shared" si="47"/>
        <v>45.769950000000001</v>
      </c>
      <c r="AL20" s="301"/>
      <c r="AM20" s="301"/>
      <c r="AN20" s="299"/>
      <c r="AO20" s="301"/>
      <c r="AP20" s="301"/>
    </row>
    <row r="21" spans="2:42" ht="19.95" customHeight="1" x14ac:dyDescent="0.3">
      <c r="B21" s="92"/>
      <c r="C21" s="95" t="s">
        <v>256</v>
      </c>
      <c r="D21" s="98">
        <v>0.33300000000000002</v>
      </c>
      <c r="E21" s="456">
        <v>1</v>
      </c>
      <c r="F21" s="457">
        <v>1</v>
      </c>
      <c r="G21" s="458">
        <f>(1.675+1.475+1.475)*3.281</f>
        <v>15.174625000000001</v>
      </c>
      <c r="H21" s="102">
        <f t="shared" ref="H21:H22" si="115">+D21</f>
        <v>0.33300000000000002</v>
      </c>
      <c r="I21" s="102"/>
      <c r="J21" s="424">
        <v>4</v>
      </c>
      <c r="K21" s="425">
        <f t="shared" ref="K21:K22" si="116">+IF(D21=0.667,E21*F21*G21*H21*J21,0)</f>
        <v>0</v>
      </c>
      <c r="L21" s="425">
        <f t="shared" ref="L21:L22" si="117">+IF(D21=0.333,E21*F21*G21*J21,0)</f>
        <v>60.698500000000003</v>
      </c>
      <c r="M21" s="424"/>
      <c r="N21" s="425">
        <f t="shared" ref="N21:N22" si="118">+IF(D21=0.667,E21*F21*G21*H21*M21,0)</f>
        <v>0</v>
      </c>
      <c r="O21" s="425">
        <f t="shared" ref="O21:O22" si="119">+IF(D21=0.333,E21*F21*G21*M21,0)</f>
        <v>0</v>
      </c>
      <c r="P21" s="424"/>
      <c r="Q21" s="425">
        <f t="shared" ref="Q21:Q22" si="120">+IF(D21=0.667,E21*F21*G21*H21*P21,0)</f>
        <v>0</v>
      </c>
      <c r="R21" s="425">
        <f t="shared" ref="R21:R22" si="121">+IF(D21=0.333,E21*F21*G21*P21,0)</f>
        <v>0</v>
      </c>
      <c r="S21" s="426">
        <f t="shared" ref="S21:S22" si="122">+Q21+N21+K21</f>
        <v>0</v>
      </c>
      <c r="T21" s="426">
        <f t="shared" ref="T21:T22" si="123">+R21+O21+L21</f>
        <v>60.698500000000003</v>
      </c>
      <c r="U21" s="102"/>
      <c r="V21" s="454"/>
      <c r="W21" s="102"/>
      <c r="X21" s="102"/>
      <c r="Y21" s="102">
        <f t="shared" ref="Y21:Y22" si="124">+IF(D21=0.667,F21*H21*W21*X21,0)</f>
        <v>0</v>
      </c>
      <c r="Z21" s="102">
        <f t="shared" ref="Z21:Z22" si="125">+IF(D21=0.333,F21*H21*W21*X21,0)</f>
        <v>0</v>
      </c>
      <c r="AA21" s="102"/>
      <c r="AB21" s="102"/>
      <c r="AC21" s="454"/>
      <c r="AD21" s="102"/>
      <c r="AE21" s="102"/>
      <c r="AF21" s="454"/>
      <c r="AG21" s="102"/>
      <c r="AH21" s="102"/>
      <c r="AJ21" s="301">
        <f t="shared" si="59"/>
        <v>0</v>
      </c>
      <c r="AK21" s="301">
        <f t="shared" si="47"/>
        <v>15.174625000000001</v>
      </c>
      <c r="AL21" s="301">
        <f>+IF(C21=0.667,1.33,0)</f>
        <v>0</v>
      </c>
      <c r="AM21" s="301"/>
      <c r="AN21" s="299"/>
      <c r="AO21" s="301"/>
      <c r="AP21" s="301"/>
    </row>
    <row r="22" spans="2:42" ht="19.95" customHeight="1" x14ac:dyDescent="0.3">
      <c r="B22" s="92"/>
      <c r="C22" s="95" t="s">
        <v>257</v>
      </c>
      <c r="D22" s="98">
        <v>0.33300000000000002</v>
      </c>
      <c r="E22" s="456">
        <v>1</v>
      </c>
      <c r="F22" s="457">
        <v>1</v>
      </c>
      <c r="G22" s="458">
        <f>(1.2+1.901+2.907+0.92)*3.281</f>
        <v>22.730768000000001</v>
      </c>
      <c r="H22" s="102">
        <f t="shared" si="115"/>
        <v>0.33300000000000002</v>
      </c>
      <c r="I22" s="102"/>
      <c r="J22" s="424">
        <v>4</v>
      </c>
      <c r="K22" s="425">
        <f t="shared" si="116"/>
        <v>0</v>
      </c>
      <c r="L22" s="425">
        <f t="shared" si="117"/>
        <v>90.923072000000005</v>
      </c>
      <c r="M22" s="424"/>
      <c r="N22" s="425">
        <f t="shared" si="118"/>
        <v>0</v>
      </c>
      <c r="O22" s="425">
        <f t="shared" si="119"/>
        <v>0</v>
      </c>
      <c r="P22" s="424"/>
      <c r="Q22" s="425">
        <f t="shared" si="120"/>
        <v>0</v>
      </c>
      <c r="R22" s="425">
        <f t="shared" si="121"/>
        <v>0</v>
      </c>
      <c r="S22" s="426">
        <f t="shared" si="122"/>
        <v>0</v>
      </c>
      <c r="T22" s="426">
        <f t="shared" si="123"/>
        <v>90.923072000000005</v>
      </c>
      <c r="U22" s="102"/>
      <c r="V22" s="454"/>
      <c r="W22" s="102"/>
      <c r="X22" s="102"/>
      <c r="Y22" s="102">
        <f t="shared" si="124"/>
        <v>0</v>
      </c>
      <c r="Z22" s="102">
        <f t="shared" si="125"/>
        <v>0</v>
      </c>
      <c r="AA22" s="102"/>
      <c r="AB22" s="102"/>
      <c r="AC22" s="454"/>
      <c r="AD22" s="102"/>
      <c r="AE22" s="102"/>
      <c r="AF22" s="454"/>
      <c r="AG22" s="102"/>
      <c r="AH22" s="102"/>
      <c r="AJ22" s="301">
        <f t="shared" si="59"/>
        <v>0</v>
      </c>
      <c r="AK22" s="301">
        <f t="shared" si="47"/>
        <v>22.730768000000001</v>
      </c>
      <c r="AL22" s="301"/>
      <c r="AM22" s="301"/>
      <c r="AN22" s="299"/>
      <c r="AO22" s="301"/>
      <c r="AP22" s="301"/>
    </row>
    <row r="23" spans="2:42" ht="19.95" customHeight="1" x14ac:dyDescent="0.3">
      <c r="B23" s="92"/>
      <c r="C23" s="95"/>
      <c r="D23" s="98"/>
      <c r="E23" s="456"/>
      <c r="F23" s="457"/>
      <c r="G23" s="458"/>
      <c r="H23" s="102"/>
      <c r="I23" s="102"/>
      <c r="J23" s="424"/>
      <c r="K23" s="425"/>
      <c r="L23" s="425"/>
      <c r="M23" s="424"/>
      <c r="N23" s="425"/>
      <c r="O23" s="425"/>
      <c r="P23" s="424"/>
      <c r="Q23" s="425"/>
      <c r="R23" s="425"/>
      <c r="S23" s="426"/>
      <c r="T23" s="426"/>
      <c r="U23" s="102"/>
      <c r="V23" s="459"/>
      <c r="W23" s="102"/>
      <c r="X23" s="102"/>
      <c r="Y23" s="102"/>
      <c r="Z23" s="102"/>
      <c r="AA23" s="102"/>
      <c r="AB23" s="102"/>
      <c r="AC23" s="454"/>
      <c r="AD23" s="102"/>
      <c r="AE23" s="102"/>
      <c r="AF23" s="454"/>
      <c r="AG23" s="102"/>
      <c r="AH23" s="102"/>
      <c r="AJ23" s="301"/>
      <c r="AK23" s="301"/>
      <c r="AL23" s="301"/>
      <c r="AM23" s="301"/>
      <c r="AN23" s="299"/>
      <c r="AO23" s="301"/>
      <c r="AP23" s="301"/>
    </row>
    <row r="24" spans="2:42" ht="27.6" x14ac:dyDescent="0.3">
      <c r="B24" s="92">
        <v>4</v>
      </c>
      <c r="C24" s="97" t="s">
        <v>403</v>
      </c>
      <c r="D24" s="98"/>
      <c r="E24" s="92"/>
      <c r="F24" s="92"/>
      <c r="G24" s="98"/>
      <c r="H24" s="98"/>
      <c r="I24" s="94"/>
      <c r="J24" s="424"/>
      <c r="K24" s="425"/>
      <c r="L24" s="425"/>
      <c r="M24" s="424"/>
      <c r="N24" s="425"/>
      <c r="O24" s="425"/>
      <c r="P24" s="424"/>
      <c r="Q24" s="425"/>
      <c r="R24" s="425"/>
      <c r="S24" s="426"/>
      <c r="T24" s="426"/>
      <c r="U24" s="102"/>
      <c r="V24" s="95"/>
      <c r="W24" s="102"/>
      <c r="X24" s="98"/>
      <c r="Y24" s="102"/>
      <c r="Z24" s="98"/>
      <c r="AA24" s="98"/>
      <c r="AB24" s="102"/>
      <c r="AC24" s="95"/>
      <c r="AD24" s="459"/>
      <c r="AE24" s="459"/>
      <c r="AF24" s="98"/>
      <c r="AG24" s="95"/>
      <c r="AH24" s="95"/>
      <c r="AJ24" s="301">
        <f t="shared" si="59"/>
        <v>0</v>
      </c>
      <c r="AK24" s="301">
        <f t="shared" si="22"/>
        <v>0</v>
      </c>
      <c r="AL24" s="301"/>
      <c r="AM24" s="301"/>
      <c r="AN24" s="299"/>
      <c r="AO24" s="301"/>
      <c r="AP24" s="301"/>
    </row>
    <row r="25" spans="2:42" ht="19.95" customHeight="1" x14ac:dyDescent="0.3">
      <c r="B25" s="92"/>
      <c r="C25" s="95" t="s">
        <v>32</v>
      </c>
      <c r="D25" s="98">
        <v>0.66700000000000004</v>
      </c>
      <c r="E25" s="92">
        <v>1</v>
      </c>
      <c r="F25" s="92">
        <v>1</v>
      </c>
      <c r="G25" s="98">
        <f>2.913*3.281</f>
        <v>9.5575530000000004</v>
      </c>
      <c r="H25" s="98">
        <f t="shared" ref="H25:H28" si="126">+D25</f>
        <v>0.66700000000000004</v>
      </c>
      <c r="I25" s="94">
        <v>1.5</v>
      </c>
      <c r="J25" s="424">
        <v>3</v>
      </c>
      <c r="K25" s="425">
        <f t="shared" ref="K25:K28" si="127">+IF(D25=0.667,E25*F25*G25*H25*J25,0)</f>
        <v>19.124663553000001</v>
      </c>
      <c r="L25" s="425">
        <f t="shared" ref="L25:L28" si="128">+IF(D25=0.333,E25*F25*G25*J25,0)</f>
        <v>0</v>
      </c>
      <c r="M25" s="424">
        <v>4</v>
      </c>
      <c r="N25" s="425">
        <f t="shared" ref="N25:N28" si="129">+IF(D25=0.667,E25*F25*G25*H25*M25,0)</f>
        <v>25.499551404000002</v>
      </c>
      <c r="O25" s="425">
        <f t="shared" ref="O25:O28" si="130">+IF(D25=0.333,E25*F25*G25*M25,0)</f>
        <v>0</v>
      </c>
      <c r="P25" s="424">
        <f>9.667-I25-M25-J25</f>
        <v>1.1669999999999998</v>
      </c>
      <c r="Q25" s="425">
        <f t="shared" ref="Q25:Q28" si="131">+IF(D25=0.667,E25*F25*G25*H25*P25,0)</f>
        <v>7.439494122116999</v>
      </c>
      <c r="R25" s="425">
        <f t="shared" ref="R25:R28" si="132">+IF(D25=0.333,E25*F25*G25*P25,0)</f>
        <v>0</v>
      </c>
      <c r="S25" s="426">
        <f t="shared" ref="S25:S28" si="133">+Q25+N25+K25</f>
        <v>52.063709079117004</v>
      </c>
      <c r="T25" s="426">
        <f t="shared" ref="T25:T28" si="134">+R25+O25+L25</f>
        <v>0</v>
      </c>
      <c r="U25" s="102"/>
      <c r="V25" s="95"/>
      <c r="W25" s="102"/>
      <c r="X25" s="98"/>
      <c r="Y25" s="102"/>
      <c r="Z25" s="98"/>
      <c r="AA25" s="98"/>
      <c r="AB25" s="102">
        <f t="shared" ref="AB25:AB28" si="135">2*F25*W25*X25</f>
        <v>0</v>
      </c>
      <c r="AC25" s="95"/>
      <c r="AD25" s="459"/>
      <c r="AE25" s="459">
        <f t="shared" ref="AE25:AE28" si="136">+IF(D25=0.667,AD25*W25*H25*F25,0)</f>
        <v>0</v>
      </c>
      <c r="AF25" s="98"/>
      <c r="AG25" s="102">
        <v>1</v>
      </c>
      <c r="AH25" s="102">
        <f>+AG25*F25*G25*0.17</f>
        <v>1.6247840100000002</v>
      </c>
      <c r="AJ25" s="301">
        <f t="shared" si="59"/>
        <v>9.5575530000000004</v>
      </c>
      <c r="AK25" s="301"/>
      <c r="AL25" s="301"/>
      <c r="AM25" s="301"/>
      <c r="AN25" s="299"/>
      <c r="AO25" s="301"/>
      <c r="AP25" s="301"/>
    </row>
    <row r="26" spans="2:42" ht="19.95" customHeight="1" x14ac:dyDescent="0.3">
      <c r="B26" s="92"/>
      <c r="C26" s="95" t="s">
        <v>31</v>
      </c>
      <c r="D26" s="98">
        <v>0.66700000000000004</v>
      </c>
      <c r="E26" s="92">
        <v>1</v>
      </c>
      <c r="F26" s="92">
        <v>1</v>
      </c>
      <c r="G26" s="98">
        <f>(2.55+1.12)*3.281</f>
        <v>12.041270000000001</v>
      </c>
      <c r="H26" s="98">
        <f t="shared" ref="H26" si="137">+D26</f>
        <v>0.66700000000000004</v>
      </c>
      <c r="I26" s="94">
        <v>1.5</v>
      </c>
      <c r="J26" s="424">
        <v>3</v>
      </c>
      <c r="K26" s="425">
        <f t="shared" ref="K26" si="138">+IF(D26=0.667,E26*F26*G26*H26*J26,0)</f>
        <v>24.094581270000003</v>
      </c>
      <c r="L26" s="425">
        <f t="shared" ref="L26" si="139">+IF(D26=0.333,E26*F26*G26*J26,0)</f>
        <v>0</v>
      </c>
      <c r="M26" s="424">
        <v>4</v>
      </c>
      <c r="N26" s="425">
        <f t="shared" ref="N26" si="140">+IF(D26=0.667,E26*F26*G26*H26*M26,0)</f>
        <v>32.126108360000003</v>
      </c>
      <c r="O26" s="425">
        <f t="shared" ref="O26" si="141">+IF(D26=0.333,E26*F26*G26*M26,0)</f>
        <v>0</v>
      </c>
      <c r="P26" s="424">
        <f t="shared" ref="P26:P28" si="142">9.667-I26-M26-J26</f>
        <v>1.1669999999999998</v>
      </c>
      <c r="Q26" s="425">
        <f t="shared" ref="Q26" si="143">+IF(D26=0.667,E26*F26*G26*H26*P26,0)</f>
        <v>9.3727921140300001</v>
      </c>
      <c r="R26" s="425">
        <f t="shared" ref="R26" si="144">+IF(D26=0.333,E26*F26*G26*P26,0)</f>
        <v>0</v>
      </c>
      <c r="S26" s="426">
        <f t="shared" ref="S26" si="145">+Q26+N26+K26</f>
        <v>65.593481744030001</v>
      </c>
      <c r="T26" s="426">
        <f t="shared" ref="T26" si="146">+R26+O26+L26</f>
        <v>0</v>
      </c>
      <c r="U26" s="102"/>
      <c r="V26" s="95"/>
      <c r="W26" s="102"/>
      <c r="X26" s="98"/>
      <c r="Y26" s="102"/>
      <c r="Z26" s="98"/>
      <c r="AA26" s="98"/>
      <c r="AB26" s="102">
        <f t="shared" ref="AB26" si="147">2*F26*W26*X26</f>
        <v>0</v>
      </c>
      <c r="AC26" s="95"/>
      <c r="AD26" s="459"/>
      <c r="AE26" s="459">
        <f t="shared" ref="AE26" si="148">+IF(D26=0.667,AD26*W26*H26*F26,0)</f>
        <v>0</v>
      </c>
      <c r="AF26" s="98"/>
      <c r="AG26" s="102">
        <v>1</v>
      </c>
      <c r="AH26" s="102">
        <f>+AG26*F26*G26*0.17</f>
        <v>2.0470159000000003</v>
      </c>
      <c r="AJ26" s="301">
        <f t="shared" si="59"/>
        <v>12.041270000000001</v>
      </c>
      <c r="AK26" s="301">
        <f t="shared" si="22"/>
        <v>0</v>
      </c>
      <c r="AL26" s="301"/>
      <c r="AM26" s="301"/>
      <c r="AN26" s="299"/>
      <c r="AO26" s="301"/>
      <c r="AP26" s="301"/>
    </row>
    <row r="27" spans="2:42" ht="19.95" customHeight="1" x14ac:dyDescent="0.3">
      <c r="B27" s="92"/>
      <c r="C27" s="95" t="s">
        <v>38</v>
      </c>
      <c r="D27" s="98">
        <v>0.66700000000000004</v>
      </c>
      <c r="E27" s="92">
        <v>1</v>
      </c>
      <c r="F27" s="92">
        <v>1</v>
      </c>
      <c r="G27" s="98">
        <f>(5.08)*3.281</f>
        <v>16.667480000000001</v>
      </c>
      <c r="H27" s="98">
        <f t="shared" ref="H27" si="149">+D27</f>
        <v>0.66700000000000004</v>
      </c>
      <c r="I27" s="94">
        <v>1.5</v>
      </c>
      <c r="J27" s="424">
        <v>3</v>
      </c>
      <c r="K27" s="425">
        <f t="shared" ref="K27" si="150">+IF(D27=0.667,E27*F27*G27*H27*J27,0)</f>
        <v>33.351627480000005</v>
      </c>
      <c r="L27" s="425">
        <f t="shared" ref="L27" si="151">+IF(D27=0.333,E27*F27*G27*J27,0)</f>
        <v>0</v>
      </c>
      <c r="M27" s="424">
        <v>4</v>
      </c>
      <c r="N27" s="425">
        <f t="shared" ref="N27" si="152">+IF(D27=0.667,E27*F27*G27*H27*M27,0)</f>
        <v>44.468836640000006</v>
      </c>
      <c r="O27" s="425">
        <f t="shared" ref="O27" si="153">+IF(D27=0.333,E27*F27*G27*M27,0)</f>
        <v>0</v>
      </c>
      <c r="P27" s="424">
        <f t="shared" si="142"/>
        <v>1.1669999999999998</v>
      </c>
      <c r="Q27" s="425">
        <f t="shared" ref="Q27" si="154">+IF(D27=0.667,E27*F27*G27*H27*P27,0)</f>
        <v>12.973783089719999</v>
      </c>
      <c r="R27" s="425">
        <f t="shared" ref="R27" si="155">+IF(D27=0.333,E27*F27*G27*P27,0)</f>
        <v>0</v>
      </c>
      <c r="S27" s="426">
        <f t="shared" ref="S27" si="156">+Q27+N27+K27</f>
        <v>90.794247209720012</v>
      </c>
      <c r="T27" s="426">
        <f t="shared" ref="T27" si="157">+R27+O27+L27</f>
        <v>0</v>
      </c>
      <c r="U27" s="102"/>
      <c r="V27" s="95"/>
      <c r="W27" s="102"/>
      <c r="X27" s="98"/>
      <c r="Y27" s="102"/>
      <c r="Z27" s="98"/>
      <c r="AA27" s="98"/>
      <c r="AB27" s="102">
        <f t="shared" ref="AB27" si="158">2*F27*W27*X27</f>
        <v>0</v>
      </c>
      <c r="AC27" s="95"/>
      <c r="AD27" s="459"/>
      <c r="AE27" s="459">
        <f t="shared" ref="AE27" si="159">+IF(D27=0.667,AD27*W27*H27*F27,0)</f>
        <v>0</v>
      </c>
      <c r="AF27" s="98"/>
      <c r="AG27" s="102">
        <v>1</v>
      </c>
      <c r="AH27" s="102">
        <f>+AG27*F27*G27*0.17</f>
        <v>2.8334716000000002</v>
      </c>
      <c r="AJ27" s="301">
        <f t="shared" ref="AJ27" si="160">+IF(D27=0.667,E27*F27*G27,0)</f>
        <v>16.667480000000001</v>
      </c>
      <c r="AK27" s="301">
        <f t="shared" ref="AK27" si="161">+IF(C27=0.333,D27*E27*F27,0)</f>
        <v>0</v>
      </c>
      <c r="AL27" s="301"/>
      <c r="AM27" s="301"/>
      <c r="AN27" s="299"/>
      <c r="AO27" s="301"/>
      <c r="AP27" s="301"/>
    </row>
    <row r="28" spans="2:42" ht="19.95" customHeight="1" x14ac:dyDescent="0.3">
      <c r="B28" s="92"/>
      <c r="C28" s="95" t="s">
        <v>401</v>
      </c>
      <c r="D28" s="98">
        <v>0.66700000000000004</v>
      </c>
      <c r="E28" s="92">
        <v>1</v>
      </c>
      <c r="F28" s="92">
        <v>1</v>
      </c>
      <c r="G28" s="98">
        <f>(5.772+1.709+2.035)*3.281</f>
        <v>31.221996000000001</v>
      </c>
      <c r="H28" s="98">
        <f t="shared" si="126"/>
        <v>0.66700000000000004</v>
      </c>
      <c r="I28" s="94">
        <v>1.5</v>
      </c>
      <c r="J28" s="424">
        <v>3</v>
      </c>
      <c r="K28" s="425">
        <f t="shared" si="127"/>
        <v>62.475213996000001</v>
      </c>
      <c r="L28" s="425">
        <f t="shared" si="128"/>
        <v>0</v>
      </c>
      <c r="M28" s="424">
        <v>4</v>
      </c>
      <c r="N28" s="425">
        <f t="shared" si="129"/>
        <v>83.300285328000001</v>
      </c>
      <c r="O28" s="425">
        <f t="shared" si="130"/>
        <v>0</v>
      </c>
      <c r="P28" s="424">
        <f t="shared" si="142"/>
        <v>1.1669999999999998</v>
      </c>
      <c r="Q28" s="425">
        <f t="shared" si="131"/>
        <v>24.302858244443996</v>
      </c>
      <c r="R28" s="425">
        <f t="shared" si="132"/>
        <v>0</v>
      </c>
      <c r="S28" s="426">
        <f t="shared" si="133"/>
        <v>170.07835756844401</v>
      </c>
      <c r="T28" s="426">
        <f t="shared" si="134"/>
        <v>0</v>
      </c>
      <c r="U28" s="102"/>
      <c r="V28" s="95"/>
      <c r="W28" s="102"/>
      <c r="X28" s="98"/>
      <c r="Y28" s="102"/>
      <c r="Z28" s="98"/>
      <c r="AA28" s="98"/>
      <c r="AB28" s="102">
        <f t="shared" si="135"/>
        <v>0</v>
      </c>
      <c r="AC28" s="95"/>
      <c r="AD28" s="459"/>
      <c r="AE28" s="459">
        <f t="shared" si="136"/>
        <v>0</v>
      </c>
      <c r="AF28" s="98"/>
      <c r="AG28" s="102">
        <v>1</v>
      </c>
      <c r="AH28" s="102">
        <f>+AG28*F28*G28*0.17</f>
        <v>5.3077393200000005</v>
      </c>
      <c r="AJ28" s="301">
        <f t="shared" si="59"/>
        <v>31.221996000000001</v>
      </c>
      <c r="AK28" s="301">
        <f t="shared" si="22"/>
        <v>0</v>
      </c>
      <c r="AL28" s="301"/>
      <c r="AM28" s="301">
        <f>+IF(C28=0.333,1.33,0)</f>
        <v>0</v>
      </c>
      <c r="AN28" s="299"/>
      <c r="AO28" s="301"/>
      <c r="AP28" s="301"/>
    </row>
    <row r="29" spans="2:42" ht="19.95" customHeight="1" x14ac:dyDescent="0.3">
      <c r="B29" s="92"/>
      <c r="C29" s="95" t="s">
        <v>42</v>
      </c>
      <c r="D29" s="98">
        <v>0.66700000000000004</v>
      </c>
      <c r="E29" s="92">
        <v>-1</v>
      </c>
      <c r="F29" s="92">
        <v>1</v>
      </c>
      <c r="G29" s="98">
        <v>3.25</v>
      </c>
      <c r="H29" s="98">
        <f t="shared" ref="H29" si="162">+D29</f>
        <v>0.66700000000000004</v>
      </c>
      <c r="I29" s="102"/>
      <c r="J29" s="424">
        <v>3</v>
      </c>
      <c r="K29" s="425">
        <f t="shared" ref="K29" si="163">+IF(D29=0.667,E29*F29*G29*H29*J29,0)</f>
        <v>-6.5032500000000013</v>
      </c>
      <c r="L29" s="425">
        <f t="shared" ref="L29" si="164">+IF(D29=0.333,E29*F29*G29*J29,0)</f>
        <v>0</v>
      </c>
      <c r="M29" s="424">
        <v>4</v>
      </c>
      <c r="N29" s="425">
        <f t="shared" ref="N29" si="165">+IF(D29=0.667,E29*F29*G29*H29*M29,0)</f>
        <v>-8.6710000000000012</v>
      </c>
      <c r="O29" s="425">
        <f t="shared" ref="O29" si="166">+IF(D29=0.333,E29*F29*G29*M29,0)</f>
        <v>0</v>
      </c>
      <c r="P29" s="424"/>
      <c r="Q29" s="425">
        <f t="shared" ref="Q29" si="167">+IF(D29=0.667,E29*F29*G29*H29*P29,0)</f>
        <v>0</v>
      </c>
      <c r="R29" s="425">
        <f t="shared" ref="R29" si="168">+IF(D29=0.333,E29*F29*G29*P29,0)</f>
        <v>0</v>
      </c>
      <c r="S29" s="426">
        <f>+Q29+N29+K29</f>
        <v>-15.174250000000002</v>
      </c>
      <c r="T29" s="426">
        <f>+R29+O29+L29</f>
        <v>0</v>
      </c>
      <c r="U29" s="102"/>
      <c r="V29" s="95"/>
      <c r="W29" s="98">
        <f>+G29+D29*2</f>
        <v>4.5839999999999996</v>
      </c>
      <c r="X29" s="98">
        <v>0.5</v>
      </c>
      <c r="Y29" s="98">
        <f>+IF(D29=0.667,-E29*F29*H29*W29*X29,0)</f>
        <v>1.528764</v>
      </c>
      <c r="Z29" s="98">
        <f>+IF(D29=0.333,-E29*F29*H29*W29*X29,0)</f>
        <v>0</v>
      </c>
      <c r="AA29" s="98">
        <f>+F29*W29*H29</f>
        <v>3.057528</v>
      </c>
      <c r="AB29" s="102">
        <f t="shared" ref="AB29" si="169">2*F29*W29*X29</f>
        <v>4.5839999999999996</v>
      </c>
      <c r="AC29" s="95"/>
      <c r="AD29" s="459">
        <v>0.16700000000000001</v>
      </c>
      <c r="AE29" s="459">
        <f t="shared" ref="AE29" si="170">+IF(D29=0.667,AD29*W29*H29*F29,0)</f>
        <v>0.51060717600000005</v>
      </c>
      <c r="AF29" s="98"/>
      <c r="AG29" s="95"/>
      <c r="AH29" s="95"/>
      <c r="AJ29" s="301">
        <f t="shared" si="59"/>
        <v>-3.25</v>
      </c>
      <c r="AK29" s="301">
        <f t="shared" si="22"/>
        <v>0</v>
      </c>
      <c r="AL29" s="301">
        <f>+IF(C29=0.667,1,0)</f>
        <v>0</v>
      </c>
      <c r="AM29" s="301"/>
      <c r="AN29" s="299"/>
      <c r="AO29" s="301"/>
      <c r="AP29" s="301"/>
    </row>
    <row r="30" spans="2:42" ht="19.95" customHeight="1" x14ac:dyDescent="0.3">
      <c r="B30" s="92"/>
      <c r="C30" s="95"/>
      <c r="D30" s="98"/>
      <c r="E30" s="92"/>
      <c r="F30" s="92"/>
      <c r="G30" s="98"/>
      <c r="H30" s="98"/>
      <c r="I30" s="102"/>
      <c r="J30" s="424"/>
      <c r="K30" s="425"/>
      <c r="L30" s="425"/>
      <c r="M30" s="424"/>
      <c r="N30" s="425"/>
      <c r="O30" s="425"/>
      <c r="P30" s="424"/>
      <c r="Q30" s="425"/>
      <c r="R30" s="425"/>
      <c r="S30" s="426"/>
      <c r="T30" s="426"/>
      <c r="U30" s="102"/>
      <c r="V30" s="95"/>
      <c r="W30" s="98"/>
      <c r="X30" s="98"/>
      <c r="Y30" s="98"/>
      <c r="Z30" s="98"/>
      <c r="AA30" s="98"/>
      <c r="AB30" s="102"/>
      <c r="AC30" s="95"/>
      <c r="AD30" s="459"/>
      <c r="AE30" s="459"/>
      <c r="AF30" s="98"/>
      <c r="AG30" s="95"/>
      <c r="AH30" s="95"/>
      <c r="AJ30" s="301">
        <f t="shared" si="59"/>
        <v>0</v>
      </c>
      <c r="AK30" s="301">
        <f t="shared" si="22"/>
        <v>0</v>
      </c>
      <c r="AL30" s="301"/>
      <c r="AM30" s="301">
        <f>+IF(C30=0.333,1.33,0)</f>
        <v>0</v>
      </c>
      <c r="AN30" s="299"/>
      <c r="AO30" s="301"/>
      <c r="AP30" s="301"/>
    </row>
    <row r="31" spans="2:42" ht="27.6" x14ac:dyDescent="0.3">
      <c r="B31" s="92"/>
      <c r="C31" s="97" t="s">
        <v>404</v>
      </c>
      <c r="D31" s="98"/>
      <c r="E31" s="92"/>
      <c r="F31" s="92"/>
      <c r="G31" s="98"/>
      <c r="H31" s="98"/>
      <c r="I31" s="94"/>
      <c r="J31" s="424"/>
      <c r="K31" s="425"/>
      <c r="L31" s="425"/>
      <c r="M31" s="424"/>
      <c r="N31" s="425"/>
      <c r="O31" s="425"/>
      <c r="P31" s="424"/>
      <c r="Q31" s="425"/>
      <c r="R31" s="425"/>
      <c r="S31" s="426"/>
      <c r="T31" s="426"/>
      <c r="U31" s="102"/>
      <c r="V31" s="95"/>
      <c r="W31" s="102"/>
      <c r="X31" s="98"/>
      <c r="Y31" s="102"/>
      <c r="Z31" s="98"/>
      <c r="AA31" s="98"/>
      <c r="AB31" s="102"/>
      <c r="AC31" s="95"/>
      <c r="AD31" s="459"/>
      <c r="AE31" s="459"/>
      <c r="AF31" s="98"/>
      <c r="AG31" s="95"/>
      <c r="AH31" s="95"/>
      <c r="AJ31" s="301">
        <f t="shared" si="59"/>
        <v>0</v>
      </c>
      <c r="AK31" s="301">
        <f t="shared" si="22"/>
        <v>0</v>
      </c>
      <c r="AL31" s="301"/>
      <c r="AM31" s="301"/>
      <c r="AN31" s="299"/>
      <c r="AO31" s="301"/>
      <c r="AP31" s="301"/>
    </row>
    <row r="32" spans="2:42" ht="19.95" customHeight="1" x14ac:dyDescent="0.3">
      <c r="B32" s="92"/>
      <c r="C32" s="95" t="s">
        <v>33</v>
      </c>
      <c r="D32" s="98">
        <v>0.66700000000000004</v>
      </c>
      <c r="E32" s="92">
        <v>1</v>
      </c>
      <c r="F32" s="92">
        <v>1</v>
      </c>
      <c r="G32" s="98">
        <f>(2.135)*3.281</f>
        <v>7.0049349999999997</v>
      </c>
      <c r="H32" s="98">
        <f t="shared" ref="H32:H35" si="171">+D32</f>
        <v>0.66700000000000004</v>
      </c>
      <c r="I32" s="94">
        <v>1.5</v>
      </c>
      <c r="J32" s="424">
        <v>3</v>
      </c>
      <c r="K32" s="425">
        <f t="shared" ref="K32:K35" si="172">+IF(D32=0.667,E32*F32*G32*H32*J32,0)</f>
        <v>14.016874935000001</v>
      </c>
      <c r="L32" s="425">
        <f t="shared" ref="L32:L35" si="173">+IF(D32=0.333,E32*F32*G32*J32,0)</f>
        <v>0</v>
      </c>
      <c r="M32" s="424">
        <v>4</v>
      </c>
      <c r="N32" s="425">
        <f t="shared" ref="N32:N35" si="174">+IF(D32=0.667,E32*F32*G32*H32*M32,0)</f>
        <v>18.689166580000002</v>
      </c>
      <c r="O32" s="425">
        <f t="shared" ref="O32:O35" si="175">+IF(D32=0.333,E32*F32*G32*M32,0)</f>
        <v>0</v>
      </c>
      <c r="P32" s="424">
        <f>9.667-I32-M32-J32</f>
        <v>1.1669999999999998</v>
      </c>
      <c r="Q32" s="425">
        <f t="shared" ref="Q32:Q35" si="176">+IF(D32=0.667,E32*F32*G32*H32*P32,0)</f>
        <v>5.4525643497149998</v>
      </c>
      <c r="R32" s="425">
        <f t="shared" ref="R32:R35" si="177">+IF(D32=0.333,E32*F32*G32*P32,0)</f>
        <v>0</v>
      </c>
      <c r="S32" s="426">
        <f t="shared" ref="S32:S35" si="178">+Q32+N32+K32</f>
        <v>38.158605864715</v>
      </c>
      <c r="T32" s="426">
        <f t="shared" ref="T32:T35" si="179">+R32+O32+L32</f>
        <v>0</v>
      </c>
      <c r="U32" s="102"/>
      <c r="V32" s="95"/>
      <c r="W32" s="102"/>
      <c r="X32" s="98"/>
      <c r="Y32" s="102"/>
      <c r="Z32" s="98"/>
      <c r="AA32" s="98"/>
      <c r="AB32" s="102">
        <f t="shared" ref="AB32:AB35" si="180">2*F32*W32*X32</f>
        <v>0</v>
      </c>
      <c r="AC32" s="95"/>
      <c r="AD32" s="459"/>
      <c r="AE32" s="459">
        <f t="shared" ref="AE32:AE35" si="181">+IF(D32=0.667,AD32*W32*H32*F32,0)</f>
        <v>0</v>
      </c>
      <c r="AF32" s="98"/>
      <c r="AG32" s="102">
        <v>1</v>
      </c>
      <c r="AH32" s="102">
        <f>+AG32*F32*G32*0.17</f>
        <v>1.1908389500000001</v>
      </c>
      <c r="AJ32" s="301">
        <f t="shared" si="59"/>
        <v>7.0049349999999997</v>
      </c>
      <c r="AK32" s="301">
        <f t="shared" si="22"/>
        <v>0</v>
      </c>
      <c r="AL32" s="301">
        <f t="shared" ref="AL32:AL33" si="182">+IF(C32=0.667,1,0)</f>
        <v>0</v>
      </c>
      <c r="AM32" s="301">
        <f>+IF(C32=0.333,1.33,0)</f>
        <v>0</v>
      </c>
      <c r="AN32" s="299"/>
      <c r="AO32" s="301"/>
      <c r="AP32" s="301"/>
    </row>
    <row r="33" spans="2:42" ht="19.95" customHeight="1" x14ac:dyDescent="0.3">
      <c r="B33" s="92"/>
      <c r="C33" s="95" t="s">
        <v>402</v>
      </c>
      <c r="D33" s="98">
        <v>0.66700000000000004</v>
      </c>
      <c r="E33" s="92">
        <v>-1</v>
      </c>
      <c r="F33" s="92">
        <v>1</v>
      </c>
      <c r="G33" s="98">
        <v>3</v>
      </c>
      <c r="H33" s="98">
        <f t="shared" si="171"/>
        <v>0.66700000000000004</v>
      </c>
      <c r="I33" s="102"/>
      <c r="J33" s="424">
        <v>3</v>
      </c>
      <c r="K33" s="425">
        <f t="shared" si="172"/>
        <v>-6.003000000000001</v>
      </c>
      <c r="L33" s="425">
        <f t="shared" si="173"/>
        <v>0</v>
      </c>
      <c r="M33" s="424">
        <v>4</v>
      </c>
      <c r="N33" s="425">
        <f t="shared" si="174"/>
        <v>-8.0040000000000013</v>
      </c>
      <c r="O33" s="425">
        <f t="shared" si="175"/>
        <v>0</v>
      </c>
      <c r="P33" s="424"/>
      <c r="Q33" s="425">
        <f t="shared" si="176"/>
        <v>0</v>
      </c>
      <c r="R33" s="425">
        <f t="shared" si="177"/>
        <v>0</v>
      </c>
      <c r="S33" s="426">
        <f t="shared" si="178"/>
        <v>-14.007000000000001</v>
      </c>
      <c r="T33" s="426">
        <f t="shared" si="179"/>
        <v>0</v>
      </c>
      <c r="U33" s="102"/>
      <c r="V33" s="95"/>
      <c r="W33" s="98">
        <f>+G33+D33*2</f>
        <v>4.3339999999999996</v>
      </c>
      <c r="X33" s="98">
        <v>0.5</v>
      </c>
      <c r="Y33" s="98">
        <f>+IF(D33=0.667,-E33*F33*H33*W33*X33,0)</f>
        <v>1.445389</v>
      </c>
      <c r="Z33" s="98">
        <f>+IF(D33=0.333,-E33*F33*H33*W33*X33,0)</f>
        <v>0</v>
      </c>
      <c r="AA33" s="98">
        <f>+F33*W33*H33</f>
        <v>2.8907780000000001</v>
      </c>
      <c r="AB33" s="102">
        <f t="shared" si="180"/>
        <v>4.3339999999999996</v>
      </c>
      <c r="AC33" s="95"/>
      <c r="AD33" s="459">
        <v>0.16700000000000001</v>
      </c>
      <c r="AE33" s="459">
        <f t="shared" si="181"/>
        <v>0.48275992600000006</v>
      </c>
      <c r="AF33" s="98"/>
      <c r="AG33" s="95"/>
      <c r="AH33" s="95"/>
      <c r="AJ33" s="301"/>
      <c r="AK33" s="301">
        <f t="shared" si="22"/>
        <v>0</v>
      </c>
      <c r="AL33" s="301">
        <f t="shared" si="182"/>
        <v>0</v>
      </c>
      <c r="AM33" s="301">
        <f>+IF(C33=0.333,1.33,0)</f>
        <v>0</v>
      </c>
      <c r="AN33" s="299"/>
      <c r="AO33" s="301"/>
      <c r="AP33" s="301"/>
    </row>
    <row r="34" spans="2:42" ht="19.95" customHeight="1" x14ac:dyDescent="0.3">
      <c r="B34" s="92"/>
      <c r="C34" s="95" t="s">
        <v>32</v>
      </c>
      <c r="D34" s="98">
        <v>0.66700000000000004</v>
      </c>
      <c r="E34" s="92">
        <v>1</v>
      </c>
      <c r="F34" s="92">
        <v>1</v>
      </c>
      <c r="G34" s="98">
        <f>(2.135)*3.281</f>
        <v>7.0049349999999997</v>
      </c>
      <c r="H34" s="98">
        <f t="shared" si="171"/>
        <v>0.66700000000000004</v>
      </c>
      <c r="I34" s="94">
        <v>1.5</v>
      </c>
      <c r="J34" s="424">
        <v>3</v>
      </c>
      <c r="K34" s="425">
        <f t="shared" si="172"/>
        <v>14.016874935000001</v>
      </c>
      <c r="L34" s="425">
        <f t="shared" si="173"/>
        <v>0</v>
      </c>
      <c r="M34" s="424">
        <v>4</v>
      </c>
      <c r="N34" s="425">
        <f t="shared" si="174"/>
        <v>18.689166580000002</v>
      </c>
      <c r="O34" s="425">
        <f t="shared" si="175"/>
        <v>0</v>
      </c>
      <c r="P34" s="424">
        <f t="shared" ref="P34:P35" si="183">9.667-I34-M34-J34</f>
        <v>1.1669999999999998</v>
      </c>
      <c r="Q34" s="425">
        <f t="shared" si="176"/>
        <v>5.4525643497149998</v>
      </c>
      <c r="R34" s="425">
        <f t="shared" si="177"/>
        <v>0</v>
      </c>
      <c r="S34" s="426">
        <f t="shared" si="178"/>
        <v>38.158605864715</v>
      </c>
      <c r="T34" s="426">
        <f t="shared" si="179"/>
        <v>0</v>
      </c>
      <c r="U34" s="102"/>
      <c r="V34" s="95"/>
      <c r="W34" s="102"/>
      <c r="X34" s="98"/>
      <c r="Y34" s="102"/>
      <c r="Z34" s="98"/>
      <c r="AA34" s="98"/>
      <c r="AB34" s="102">
        <f t="shared" si="180"/>
        <v>0</v>
      </c>
      <c r="AC34" s="95"/>
      <c r="AD34" s="459"/>
      <c r="AE34" s="459">
        <f t="shared" si="181"/>
        <v>0</v>
      </c>
      <c r="AF34" s="98"/>
      <c r="AG34" s="102">
        <v>1</v>
      </c>
      <c r="AH34" s="102">
        <f>+AG34*F34*G34*0.17</f>
        <v>1.1908389500000001</v>
      </c>
      <c r="AJ34" s="301">
        <f t="shared" si="59"/>
        <v>7.0049349999999997</v>
      </c>
      <c r="AK34" s="301">
        <v>0</v>
      </c>
      <c r="AL34" s="301"/>
      <c r="AM34" s="301"/>
      <c r="AN34" s="299"/>
      <c r="AO34" s="301"/>
      <c r="AP34" s="301"/>
    </row>
    <row r="35" spans="2:42" ht="19.95" customHeight="1" x14ac:dyDescent="0.3">
      <c r="B35" s="92"/>
      <c r="C35" s="95" t="s">
        <v>41</v>
      </c>
      <c r="D35" s="98">
        <v>0.66700000000000004</v>
      </c>
      <c r="E35" s="92">
        <v>1</v>
      </c>
      <c r="F35" s="92">
        <v>1</v>
      </c>
      <c r="G35" s="98">
        <f>(3.52)*3.281</f>
        <v>11.54912</v>
      </c>
      <c r="H35" s="98">
        <f t="shared" si="171"/>
        <v>0.66700000000000004</v>
      </c>
      <c r="I35" s="94">
        <v>1.5</v>
      </c>
      <c r="J35" s="424">
        <v>3</v>
      </c>
      <c r="K35" s="425">
        <f t="shared" si="172"/>
        <v>23.109789120000002</v>
      </c>
      <c r="L35" s="425">
        <f t="shared" si="173"/>
        <v>0</v>
      </c>
      <c r="M35" s="424">
        <v>4</v>
      </c>
      <c r="N35" s="425">
        <f t="shared" si="174"/>
        <v>30.813052160000002</v>
      </c>
      <c r="O35" s="425">
        <f t="shared" si="175"/>
        <v>0</v>
      </c>
      <c r="P35" s="424">
        <f t="shared" si="183"/>
        <v>1.1669999999999998</v>
      </c>
      <c r="Q35" s="425">
        <f t="shared" si="176"/>
        <v>8.9897079676799994</v>
      </c>
      <c r="R35" s="425">
        <f t="shared" si="177"/>
        <v>0</v>
      </c>
      <c r="S35" s="426">
        <f t="shared" si="178"/>
        <v>62.912549247680005</v>
      </c>
      <c r="T35" s="426">
        <f t="shared" si="179"/>
        <v>0</v>
      </c>
      <c r="U35" s="102"/>
      <c r="V35" s="95"/>
      <c r="W35" s="102"/>
      <c r="X35" s="98"/>
      <c r="Y35" s="102"/>
      <c r="Z35" s="98"/>
      <c r="AA35" s="98"/>
      <c r="AB35" s="102">
        <f t="shared" si="180"/>
        <v>0</v>
      </c>
      <c r="AC35" s="95"/>
      <c r="AD35" s="459"/>
      <c r="AE35" s="459">
        <f t="shared" si="181"/>
        <v>0</v>
      </c>
      <c r="AF35" s="98"/>
      <c r="AG35" s="102">
        <v>1</v>
      </c>
      <c r="AH35" s="102">
        <f>+AG35*F35*G35*0.17</f>
        <v>1.9633504000000002</v>
      </c>
      <c r="AJ35" s="301">
        <f t="shared" si="59"/>
        <v>11.54912</v>
      </c>
      <c r="AK35" s="301"/>
      <c r="AL35" s="301">
        <f>+IF(C35=0.667,1,0)</f>
        <v>0</v>
      </c>
      <c r="AM35" s="301">
        <f>+IF(C35=0.333,1.33,0)</f>
        <v>0</v>
      </c>
      <c r="AN35" s="299"/>
      <c r="AO35" s="301"/>
      <c r="AP35" s="301"/>
    </row>
    <row r="36" spans="2:42" ht="19.95" customHeight="1" x14ac:dyDescent="0.3">
      <c r="B36" s="296"/>
      <c r="C36" s="297"/>
      <c r="D36" s="298"/>
      <c r="E36" s="460"/>
      <c r="F36" s="461"/>
      <c r="G36" s="462"/>
      <c r="H36" s="299"/>
      <c r="I36" s="299"/>
      <c r="J36" s="463"/>
      <c r="K36" s="464"/>
      <c r="L36" s="464"/>
      <c r="M36" s="463"/>
      <c r="N36" s="464"/>
      <c r="O36" s="464"/>
      <c r="P36" s="463"/>
      <c r="Q36" s="464"/>
      <c r="R36" s="464"/>
      <c r="S36" s="465"/>
      <c r="T36" s="465"/>
      <c r="U36" s="299"/>
      <c r="V36" s="301"/>
      <c r="W36" s="299"/>
      <c r="X36" s="299"/>
      <c r="Y36" s="299"/>
      <c r="Z36" s="299"/>
      <c r="AA36" s="299"/>
      <c r="AB36" s="299"/>
      <c r="AC36" s="301"/>
      <c r="AD36" s="299"/>
      <c r="AE36" s="299"/>
      <c r="AF36" s="301"/>
      <c r="AG36" s="299"/>
      <c r="AH36" s="299"/>
      <c r="AJ36" s="301">
        <f t="shared" si="59"/>
        <v>0</v>
      </c>
      <c r="AK36" s="301">
        <f t="shared" si="22"/>
        <v>0</v>
      </c>
      <c r="AL36" s="301"/>
      <c r="AM36" s="301"/>
      <c r="AN36" s="299"/>
      <c r="AO36" s="301"/>
      <c r="AP36" s="301"/>
    </row>
    <row r="37" spans="2:42" ht="19.95" customHeight="1" x14ac:dyDescent="0.3">
      <c r="B37" s="296"/>
      <c r="C37" s="297"/>
      <c r="D37" s="298"/>
      <c r="E37" s="460"/>
      <c r="F37" s="461"/>
      <c r="G37" s="462"/>
      <c r="H37" s="299"/>
      <c r="I37" s="299"/>
      <c r="J37" s="463"/>
      <c r="K37" s="464"/>
      <c r="L37" s="464"/>
      <c r="M37" s="463"/>
      <c r="N37" s="464"/>
      <c r="O37" s="464"/>
      <c r="P37" s="463"/>
      <c r="Q37" s="464"/>
      <c r="R37" s="464"/>
      <c r="S37" s="465"/>
      <c r="T37" s="465"/>
      <c r="U37" s="299"/>
      <c r="V37" s="301"/>
      <c r="W37" s="299"/>
      <c r="X37" s="299"/>
      <c r="Y37" s="299"/>
      <c r="Z37" s="299"/>
      <c r="AA37" s="299"/>
      <c r="AB37" s="299"/>
      <c r="AC37" s="301"/>
      <c r="AD37" s="299"/>
      <c r="AE37" s="299"/>
      <c r="AF37" s="301"/>
      <c r="AG37" s="299"/>
      <c r="AH37" s="299"/>
      <c r="AJ37" s="301">
        <f t="shared" si="59"/>
        <v>0</v>
      </c>
      <c r="AK37" s="301">
        <f t="shared" si="22"/>
        <v>0</v>
      </c>
      <c r="AL37" s="301"/>
      <c r="AM37" s="301"/>
      <c r="AN37" s="299"/>
      <c r="AO37" s="301"/>
      <c r="AP37" s="301"/>
    </row>
    <row r="38" spans="2:42" ht="19.95" customHeight="1" x14ac:dyDescent="0.3">
      <c r="B38" s="92">
        <v>5</v>
      </c>
      <c r="C38" s="97" t="s">
        <v>405</v>
      </c>
      <c r="D38" s="98"/>
      <c r="E38" s="92"/>
      <c r="F38" s="92"/>
      <c r="G38" s="98"/>
      <c r="H38" s="98"/>
      <c r="I38" s="94"/>
      <c r="J38" s="424"/>
      <c r="K38" s="425"/>
      <c r="L38" s="425"/>
      <c r="M38" s="424"/>
      <c r="N38" s="425"/>
      <c r="O38" s="425"/>
      <c r="P38" s="424"/>
      <c r="Q38" s="425"/>
      <c r="R38" s="425"/>
      <c r="S38" s="426"/>
      <c r="T38" s="426"/>
      <c r="U38" s="102"/>
      <c r="V38" s="95"/>
      <c r="W38" s="102"/>
      <c r="X38" s="98"/>
      <c r="Y38" s="102"/>
      <c r="Z38" s="98"/>
      <c r="AA38" s="98"/>
      <c r="AB38" s="102"/>
      <c r="AC38" s="95"/>
      <c r="AD38" s="459"/>
      <c r="AE38" s="459"/>
      <c r="AF38" s="98"/>
      <c r="AG38" s="95"/>
      <c r="AH38" s="95"/>
      <c r="AJ38" s="301">
        <f t="shared" si="59"/>
        <v>0</v>
      </c>
      <c r="AK38" s="301"/>
      <c r="AL38" s="301"/>
      <c r="AM38" s="301"/>
      <c r="AN38" s="299"/>
      <c r="AO38" s="301"/>
      <c r="AP38" s="301"/>
    </row>
    <row r="39" spans="2:42" ht="19.95" customHeight="1" x14ac:dyDescent="0.3">
      <c r="B39" s="92"/>
      <c r="C39" s="95" t="s">
        <v>132</v>
      </c>
      <c r="D39" s="98">
        <v>0.66700000000000004</v>
      </c>
      <c r="E39" s="92">
        <v>1</v>
      </c>
      <c r="F39" s="92">
        <v>1</v>
      </c>
      <c r="G39" s="98">
        <f>+(2.134+3+2.134)*3.281</f>
        <v>23.846308000000004</v>
      </c>
      <c r="H39" s="98">
        <f t="shared" ref="H39" si="184">+D39</f>
        <v>0.66700000000000004</v>
      </c>
      <c r="I39" s="94">
        <v>1.5</v>
      </c>
      <c r="J39" s="466">
        <v>3</v>
      </c>
      <c r="K39" s="425">
        <f t="shared" ref="K39" si="185">+IF(D39=0.667,E39*F39*G39*H39*J39,0)</f>
        <v>47.716462308000011</v>
      </c>
      <c r="L39" s="425">
        <f t="shared" ref="L39" si="186">+IF(D39=0.333,E39*F39*G39*J39,0)</f>
        <v>0</v>
      </c>
      <c r="M39" s="424">
        <v>0</v>
      </c>
      <c r="N39" s="425">
        <f t="shared" ref="N39" si="187">+IF(D39=0.667,E39*F39*G39*H39*M39,0)</f>
        <v>0</v>
      </c>
      <c r="O39" s="425">
        <f t="shared" ref="O39" si="188">+IF(D39=0.333,E39*F39*G39*M39,0)</f>
        <v>0</v>
      </c>
      <c r="P39" s="424">
        <v>0</v>
      </c>
      <c r="Q39" s="425">
        <f t="shared" ref="Q39" si="189">+IF(D39=0.667,E39*F39*G39*H39*P39,0)</f>
        <v>0</v>
      </c>
      <c r="R39" s="425">
        <f t="shared" ref="R39" si="190">+IF(D39=0.333,E39*F39*G39*P39,0)</f>
        <v>0</v>
      </c>
      <c r="S39" s="426">
        <f>+Q39+N39+K39</f>
        <v>47.716462308000011</v>
      </c>
      <c r="T39" s="426">
        <f t="shared" ref="T39" si="191">+R39+O39+L39</f>
        <v>0</v>
      </c>
      <c r="U39" s="102"/>
      <c r="V39" s="95"/>
      <c r="W39" s="102"/>
      <c r="X39" s="98"/>
      <c r="Y39" s="102"/>
      <c r="Z39" s="98"/>
      <c r="AA39" s="98"/>
      <c r="AB39" s="102">
        <f t="shared" ref="AB39" si="192">2*F39*W39*X39</f>
        <v>0</v>
      </c>
      <c r="AC39" s="95"/>
      <c r="AD39" s="459"/>
      <c r="AE39" s="459">
        <f t="shared" ref="AE39" si="193">+IF(D39=0.667,AD39*W39*H39*F39,0)</f>
        <v>0</v>
      </c>
      <c r="AF39" s="98"/>
      <c r="AG39" s="102">
        <v>1</v>
      </c>
      <c r="AH39" s="102">
        <f>+AG39*F39*G39*0.17</f>
        <v>4.0538723600000006</v>
      </c>
      <c r="AJ39" s="301">
        <f t="shared" si="59"/>
        <v>23.846308000000004</v>
      </c>
      <c r="AK39" s="301"/>
      <c r="AL39" s="301"/>
      <c r="AM39" s="301"/>
      <c r="AN39" s="299"/>
      <c r="AO39" s="301">
        <f>+S39</f>
        <v>47.716462308000011</v>
      </c>
      <c r="AP39" s="301"/>
    </row>
    <row r="40" spans="2:42" ht="19.95" customHeight="1" x14ac:dyDescent="0.3">
      <c r="B40" s="369"/>
      <c r="C40" s="370"/>
      <c r="D40" s="371"/>
      <c r="E40" s="369"/>
      <c r="F40" s="369"/>
      <c r="G40" s="371"/>
      <c r="H40" s="371"/>
      <c r="I40" s="372"/>
      <c r="J40" s="424"/>
      <c r="K40" s="398"/>
      <c r="L40" s="398"/>
      <c r="M40" s="397"/>
      <c r="N40" s="398"/>
      <c r="O40" s="398"/>
      <c r="P40" s="397"/>
      <c r="Q40" s="398"/>
      <c r="R40" s="398"/>
      <c r="S40" s="399"/>
      <c r="T40" s="399"/>
      <c r="U40" s="374"/>
      <c r="V40" s="370"/>
      <c r="W40" s="374"/>
      <c r="X40" s="371"/>
      <c r="Y40" s="374"/>
      <c r="Z40" s="371"/>
      <c r="AA40" s="371"/>
      <c r="AB40" s="374"/>
      <c r="AC40" s="370"/>
      <c r="AD40" s="377"/>
      <c r="AE40" s="377"/>
      <c r="AF40" s="371"/>
      <c r="AG40" s="374"/>
      <c r="AH40" s="374"/>
      <c r="AJ40" s="378"/>
      <c r="AK40" s="378"/>
      <c r="AL40" s="378"/>
      <c r="AM40" s="378"/>
      <c r="AN40" s="374"/>
      <c r="AO40" s="378"/>
      <c r="AP40" s="378"/>
    </row>
    <row r="41" spans="2:42" ht="27.6" x14ac:dyDescent="0.3">
      <c r="B41" s="92">
        <v>4</v>
      </c>
      <c r="C41" s="97" t="s">
        <v>406</v>
      </c>
      <c r="D41" s="98"/>
      <c r="E41" s="92"/>
      <c r="F41" s="92"/>
      <c r="G41" s="98"/>
      <c r="H41" s="98"/>
      <c r="I41" s="94"/>
      <c r="J41" s="424"/>
      <c r="K41" s="425"/>
      <c r="L41" s="425"/>
      <c r="M41" s="424"/>
      <c r="N41" s="425"/>
      <c r="O41" s="425"/>
      <c r="P41" s="424"/>
      <c r="Q41" s="425"/>
      <c r="R41" s="425"/>
      <c r="S41" s="426"/>
      <c r="T41" s="426"/>
      <c r="U41" s="102"/>
      <c r="V41" s="95"/>
      <c r="W41" s="102"/>
      <c r="X41" s="98"/>
      <c r="Y41" s="102"/>
      <c r="Z41" s="98"/>
      <c r="AA41" s="98"/>
      <c r="AB41" s="102"/>
      <c r="AC41" s="95"/>
      <c r="AD41" s="459"/>
      <c r="AE41" s="459"/>
      <c r="AF41" s="98"/>
      <c r="AG41" s="95"/>
      <c r="AH41" s="95"/>
      <c r="AJ41" s="301">
        <f t="shared" ref="AJ41:AJ49" si="194">+IF(D41=0.667,E41*F41*G41,0)</f>
        <v>0</v>
      </c>
      <c r="AK41" s="301">
        <f t="shared" ref="AK41" si="195">+IF(C41=0.333,D41*E41*F41,0)</f>
        <v>0</v>
      </c>
      <c r="AL41" s="301"/>
      <c r="AM41" s="301"/>
      <c r="AN41" s="299"/>
      <c r="AO41" s="301"/>
      <c r="AP41" s="301"/>
    </row>
    <row r="42" spans="2:42" ht="19.95" customHeight="1" x14ac:dyDescent="0.3">
      <c r="B42" s="92"/>
      <c r="C42" s="95" t="s">
        <v>32</v>
      </c>
      <c r="D42" s="98">
        <v>0.66700000000000004</v>
      </c>
      <c r="E42" s="92">
        <v>1</v>
      </c>
      <c r="F42" s="92">
        <v>1</v>
      </c>
      <c r="G42" s="98">
        <f>3.335*3.281</f>
        <v>10.942135</v>
      </c>
      <c r="H42" s="98">
        <f t="shared" ref="H42:H46" si="196">+D42</f>
        <v>0.66700000000000004</v>
      </c>
      <c r="I42" s="94">
        <v>1.5</v>
      </c>
      <c r="J42" s="424">
        <v>3</v>
      </c>
      <c r="K42" s="425">
        <f t="shared" ref="K42:K46" si="197">+IF(D42=0.667,E42*F42*G42*H42*J42,0)</f>
        <v>21.895212135000001</v>
      </c>
      <c r="L42" s="425">
        <f t="shared" ref="L42:L46" si="198">+IF(D42=0.333,E42*F42*G42*J42,0)</f>
        <v>0</v>
      </c>
      <c r="M42" s="424">
        <v>4</v>
      </c>
      <c r="N42" s="425">
        <f t="shared" ref="N42:N46" si="199">+IF(D42=0.667,E42*F42*G42*H42*M42,0)</f>
        <v>29.193616180000003</v>
      </c>
      <c r="O42" s="425">
        <f t="shared" ref="O42:O46" si="200">+IF(D42=0.333,E42*F42*G42*M42,0)</f>
        <v>0</v>
      </c>
      <c r="P42" s="424">
        <f t="shared" ref="P42:P45" si="201">9.667-I42-M42-J42</f>
        <v>1.1669999999999998</v>
      </c>
      <c r="Q42" s="425">
        <f t="shared" ref="Q42:Q46" si="202">+IF(D42=0.667,E42*F42*G42*H42*P42,0)</f>
        <v>8.5172375205149997</v>
      </c>
      <c r="R42" s="425">
        <f t="shared" ref="R42:R46" si="203">+IF(D42=0.333,E42*F42*G42*P42,0)</f>
        <v>0</v>
      </c>
      <c r="S42" s="426">
        <f t="shared" ref="S42:S45" si="204">+Q42+N42+K42</f>
        <v>59.606065835515004</v>
      </c>
      <c r="T42" s="426">
        <f t="shared" ref="T42:T45" si="205">+R42+O42+L42</f>
        <v>0</v>
      </c>
      <c r="U42" s="102"/>
      <c r="V42" s="95"/>
      <c r="W42" s="102"/>
      <c r="X42" s="98"/>
      <c r="Y42" s="102"/>
      <c r="Z42" s="98"/>
      <c r="AA42" s="98"/>
      <c r="AB42" s="102">
        <f t="shared" ref="AB42:AB46" si="206">2*F42*W42*X42</f>
        <v>0</v>
      </c>
      <c r="AC42" s="95"/>
      <c r="AD42" s="459"/>
      <c r="AE42" s="459">
        <f t="shared" ref="AE42:AE46" si="207">+IF(D42=0.667,AD42*W42*H42*F42,0)</f>
        <v>0</v>
      </c>
      <c r="AF42" s="98"/>
      <c r="AG42" s="102">
        <v>1</v>
      </c>
      <c r="AH42" s="102">
        <f>+AG42*F42*G42*0.17</f>
        <v>1.8601629500000001</v>
      </c>
      <c r="AJ42" s="301">
        <f t="shared" si="194"/>
        <v>10.942135</v>
      </c>
      <c r="AK42" s="301"/>
      <c r="AL42" s="301"/>
      <c r="AM42" s="301"/>
      <c r="AN42" s="299"/>
      <c r="AO42" s="301"/>
      <c r="AP42" s="301"/>
    </row>
    <row r="43" spans="2:42" ht="19.95" customHeight="1" x14ac:dyDescent="0.3">
      <c r="B43" s="92"/>
      <c r="C43" s="95" t="s">
        <v>31</v>
      </c>
      <c r="D43" s="98">
        <v>0.66700000000000004</v>
      </c>
      <c r="E43" s="92">
        <v>1</v>
      </c>
      <c r="F43" s="92">
        <v>1</v>
      </c>
      <c r="G43" s="98">
        <f>(3.06+3.363)*3.281</f>
        <v>21.073862999999999</v>
      </c>
      <c r="H43" s="98">
        <f t="shared" si="196"/>
        <v>0.66700000000000004</v>
      </c>
      <c r="I43" s="94">
        <v>1.5</v>
      </c>
      <c r="J43" s="424">
        <v>3</v>
      </c>
      <c r="K43" s="425">
        <f t="shared" si="197"/>
        <v>42.168799863000004</v>
      </c>
      <c r="L43" s="425">
        <f t="shared" si="198"/>
        <v>0</v>
      </c>
      <c r="M43" s="424">
        <v>4</v>
      </c>
      <c r="N43" s="425">
        <f t="shared" si="199"/>
        <v>56.225066484000003</v>
      </c>
      <c r="O43" s="425">
        <f t="shared" si="200"/>
        <v>0</v>
      </c>
      <c r="P43" s="424">
        <f t="shared" si="201"/>
        <v>1.1669999999999998</v>
      </c>
      <c r="Q43" s="425">
        <f t="shared" si="202"/>
        <v>16.403663146706997</v>
      </c>
      <c r="R43" s="425">
        <f t="shared" si="203"/>
        <v>0</v>
      </c>
      <c r="S43" s="426">
        <f t="shared" si="204"/>
        <v>114.797529493707</v>
      </c>
      <c r="T43" s="426">
        <f t="shared" si="205"/>
        <v>0</v>
      </c>
      <c r="U43" s="102"/>
      <c r="V43" s="95"/>
      <c r="W43" s="102"/>
      <c r="X43" s="98"/>
      <c r="Y43" s="102"/>
      <c r="Z43" s="98"/>
      <c r="AA43" s="98"/>
      <c r="AB43" s="102">
        <f t="shared" si="206"/>
        <v>0</v>
      </c>
      <c r="AC43" s="95"/>
      <c r="AD43" s="459"/>
      <c r="AE43" s="459">
        <f t="shared" si="207"/>
        <v>0</v>
      </c>
      <c r="AF43" s="98"/>
      <c r="AG43" s="102">
        <v>1</v>
      </c>
      <c r="AH43" s="102">
        <f>+AG43*F43*G43*0.17</f>
        <v>3.58255671</v>
      </c>
      <c r="AJ43" s="301">
        <f t="shared" si="194"/>
        <v>21.073862999999999</v>
      </c>
      <c r="AK43" s="301">
        <f t="shared" ref="AK43:AK50" si="208">+IF(C43=0.333,D43*E43*F43,0)</f>
        <v>0</v>
      </c>
      <c r="AL43" s="301"/>
      <c r="AM43" s="301"/>
      <c r="AN43" s="299"/>
      <c r="AO43" s="301"/>
      <c r="AP43" s="301"/>
    </row>
    <row r="44" spans="2:42" ht="19.95" customHeight="1" x14ac:dyDescent="0.3">
      <c r="B44" s="92"/>
      <c r="C44" s="95" t="s">
        <v>38</v>
      </c>
      <c r="D44" s="98">
        <v>0.66700000000000004</v>
      </c>
      <c r="E44" s="92">
        <v>1</v>
      </c>
      <c r="F44" s="92">
        <v>1</v>
      </c>
      <c r="G44" s="98">
        <f>(2.97)*3.281</f>
        <v>9.7445700000000013</v>
      </c>
      <c r="H44" s="98">
        <f t="shared" si="196"/>
        <v>0.66700000000000004</v>
      </c>
      <c r="I44" s="94">
        <v>1.5</v>
      </c>
      <c r="J44" s="424">
        <v>3</v>
      </c>
      <c r="K44" s="425">
        <f t="shared" si="197"/>
        <v>19.498884570000001</v>
      </c>
      <c r="L44" s="425">
        <f t="shared" si="198"/>
        <v>0</v>
      </c>
      <c r="M44" s="424">
        <v>4</v>
      </c>
      <c r="N44" s="425">
        <f t="shared" si="199"/>
        <v>25.998512760000004</v>
      </c>
      <c r="O44" s="425">
        <f t="shared" si="200"/>
        <v>0</v>
      </c>
      <c r="P44" s="424">
        <f t="shared" si="201"/>
        <v>1.1669999999999998</v>
      </c>
      <c r="Q44" s="425">
        <f t="shared" si="202"/>
        <v>7.5850660977300004</v>
      </c>
      <c r="R44" s="425">
        <f t="shared" si="203"/>
        <v>0</v>
      </c>
      <c r="S44" s="426">
        <f t="shared" si="204"/>
        <v>53.082463427730005</v>
      </c>
      <c r="T44" s="426">
        <f t="shared" si="205"/>
        <v>0</v>
      </c>
      <c r="U44" s="102"/>
      <c r="V44" s="95"/>
      <c r="W44" s="102"/>
      <c r="X44" s="98"/>
      <c r="Y44" s="102"/>
      <c r="Z44" s="98"/>
      <c r="AA44" s="98"/>
      <c r="AB44" s="102">
        <f t="shared" si="206"/>
        <v>0</v>
      </c>
      <c r="AC44" s="95"/>
      <c r="AD44" s="459"/>
      <c r="AE44" s="459">
        <f t="shared" si="207"/>
        <v>0</v>
      </c>
      <c r="AF44" s="98"/>
      <c r="AG44" s="102">
        <v>1</v>
      </c>
      <c r="AH44" s="102">
        <f>+AG44*F44*G44*0.17</f>
        <v>1.6565769000000004</v>
      </c>
      <c r="AJ44" s="301">
        <f t="shared" si="194"/>
        <v>9.7445700000000013</v>
      </c>
      <c r="AK44" s="301">
        <f t="shared" si="208"/>
        <v>0</v>
      </c>
      <c r="AL44" s="301"/>
      <c r="AM44" s="301"/>
      <c r="AN44" s="299"/>
      <c r="AO44" s="301"/>
      <c r="AP44" s="301"/>
    </row>
    <row r="45" spans="2:42" ht="19.95" customHeight="1" x14ac:dyDescent="0.3">
      <c r="B45" s="92"/>
      <c r="C45" s="95" t="s">
        <v>401</v>
      </c>
      <c r="D45" s="98">
        <v>0.66700000000000004</v>
      </c>
      <c r="E45" s="92">
        <v>1</v>
      </c>
      <c r="F45" s="92">
        <v>1</v>
      </c>
      <c r="G45" s="98">
        <f>(2.853+7.63+2.853)*3.281</f>
        <v>43.755416000000004</v>
      </c>
      <c r="H45" s="98">
        <f t="shared" si="196"/>
        <v>0.66700000000000004</v>
      </c>
      <c r="I45" s="94">
        <v>1.5</v>
      </c>
      <c r="J45" s="424">
        <v>3</v>
      </c>
      <c r="K45" s="425">
        <f t="shared" si="197"/>
        <v>87.554587416000004</v>
      </c>
      <c r="L45" s="425">
        <f t="shared" si="198"/>
        <v>0</v>
      </c>
      <c r="M45" s="424">
        <v>4</v>
      </c>
      <c r="N45" s="425">
        <f t="shared" si="199"/>
        <v>116.73944988800001</v>
      </c>
      <c r="O45" s="425">
        <f t="shared" si="200"/>
        <v>0</v>
      </c>
      <c r="P45" s="424">
        <f t="shared" si="201"/>
        <v>1.1669999999999998</v>
      </c>
      <c r="Q45" s="425">
        <f t="shared" si="202"/>
        <v>34.058734504823995</v>
      </c>
      <c r="R45" s="425">
        <f t="shared" si="203"/>
        <v>0</v>
      </c>
      <c r="S45" s="426">
        <f t="shared" si="204"/>
        <v>238.352771808824</v>
      </c>
      <c r="T45" s="426">
        <f t="shared" si="205"/>
        <v>0</v>
      </c>
      <c r="U45" s="102"/>
      <c r="V45" s="95"/>
      <c r="W45" s="102"/>
      <c r="X45" s="98"/>
      <c r="Y45" s="102"/>
      <c r="Z45" s="98"/>
      <c r="AA45" s="98"/>
      <c r="AB45" s="102">
        <f t="shared" si="206"/>
        <v>0</v>
      </c>
      <c r="AC45" s="95"/>
      <c r="AD45" s="459"/>
      <c r="AE45" s="459">
        <f t="shared" si="207"/>
        <v>0</v>
      </c>
      <c r="AF45" s="98"/>
      <c r="AG45" s="102">
        <v>1</v>
      </c>
      <c r="AH45" s="102">
        <f>+AG45*F45*G45*0.17</f>
        <v>7.4384207200000008</v>
      </c>
      <c r="AJ45" s="301">
        <f t="shared" si="194"/>
        <v>43.755416000000004</v>
      </c>
      <c r="AK45" s="301">
        <f t="shared" si="208"/>
        <v>0</v>
      </c>
      <c r="AL45" s="301"/>
      <c r="AM45" s="301">
        <f>+IF(C45=0.333,1.33,0)</f>
        <v>0</v>
      </c>
      <c r="AN45" s="299"/>
      <c r="AO45" s="301"/>
      <c r="AP45" s="301"/>
    </row>
    <row r="46" spans="2:42" ht="19.95" customHeight="1" x14ac:dyDescent="0.3">
      <c r="B46" s="92"/>
      <c r="C46" s="95" t="s">
        <v>42</v>
      </c>
      <c r="D46" s="98">
        <v>0.66700000000000004</v>
      </c>
      <c r="E46" s="92">
        <v>-1</v>
      </c>
      <c r="F46" s="92">
        <v>1</v>
      </c>
      <c r="G46" s="98">
        <v>3.25</v>
      </c>
      <c r="H46" s="98">
        <f t="shared" si="196"/>
        <v>0.66700000000000004</v>
      </c>
      <c r="I46" s="102"/>
      <c r="J46" s="424">
        <v>3</v>
      </c>
      <c r="K46" s="425">
        <f t="shared" si="197"/>
        <v>-6.5032500000000013</v>
      </c>
      <c r="L46" s="425">
        <f t="shared" si="198"/>
        <v>0</v>
      </c>
      <c r="M46" s="424">
        <v>4</v>
      </c>
      <c r="N46" s="425">
        <f t="shared" si="199"/>
        <v>-8.6710000000000012</v>
      </c>
      <c r="O46" s="425">
        <f t="shared" si="200"/>
        <v>0</v>
      </c>
      <c r="P46" s="424"/>
      <c r="Q46" s="425">
        <f t="shared" si="202"/>
        <v>0</v>
      </c>
      <c r="R46" s="425">
        <f t="shared" si="203"/>
        <v>0</v>
      </c>
      <c r="S46" s="426">
        <f>+Q46+N46+K46</f>
        <v>-15.174250000000002</v>
      </c>
      <c r="T46" s="426">
        <f>+R46+O46+L46</f>
        <v>0</v>
      </c>
      <c r="U46" s="102"/>
      <c r="V46" s="95"/>
      <c r="W46" s="98">
        <f>+G46+D46*2</f>
        <v>4.5839999999999996</v>
      </c>
      <c r="X46" s="98">
        <v>0.5</v>
      </c>
      <c r="Y46" s="98">
        <f>+IF(D46=0.667,-E46*F46*H46*W46*X46,0)</f>
        <v>1.528764</v>
      </c>
      <c r="Z46" s="98">
        <f>+IF(D46=0.333,-E46*F46*H46*W46*X46,0)</f>
        <v>0</v>
      </c>
      <c r="AA46" s="98">
        <f>+F46*W46*H46</f>
        <v>3.057528</v>
      </c>
      <c r="AB46" s="102">
        <f t="shared" si="206"/>
        <v>4.5839999999999996</v>
      </c>
      <c r="AC46" s="95"/>
      <c r="AD46" s="459">
        <v>0.16700000000000001</v>
      </c>
      <c r="AE46" s="459">
        <f t="shared" si="207"/>
        <v>0.51060717600000005</v>
      </c>
      <c r="AF46" s="98"/>
      <c r="AG46" s="95"/>
      <c r="AH46" s="95"/>
      <c r="AJ46" s="301">
        <f t="shared" si="194"/>
        <v>-3.25</v>
      </c>
      <c r="AK46" s="301">
        <f t="shared" si="208"/>
        <v>0</v>
      </c>
      <c r="AL46" s="301">
        <f>+IF(C46=0.667,1,0)</f>
        <v>0</v>
      </c>
      <c r="AM46" s="301"/>
      <c r="AN46" s="299"/>
      <c r="AO46" s="301"/>
      <c r="AP46" s="301"/>
    </row>
    <row r="47" spans="2:42" ht="19.95" customHeight="1" x14ac:dyDescent="0.3">
      <c r="B47" s="92"/>
      <c r="C47" s="95"/>
      <c r="D47" s="98"/>
      <c r="E47" s="92"/>
      <c r="F47" s="92"/>
      <c r="G47" s="98"/>
      <c r="H47" s="98"/>
      <c r="I47" s="102"/>
      <c r="J47" s="424"/>
      <c r="K47" s="425"/>
      <c r="L47" s="425"/>
      <c r="M47" s="424"/>
      <c r="N47" s="425"/>
      <c r="O47" s="425"/>
      <c r="P47" s="424"/>
      <c r="Q47" s="425"/>
      <c r="R47" s="425"/>
      <c r="S47" s="426"/>
      <c r="T47" s="426"/>
      <c r="U47" s="102"/>
      <c r="V47" s="95"/>
      <c r="W47" s="98"/>
      <c r="X47" s="98"/>
      <c r="Y47" s="98"/>
      <c r="Z47" s="98"/>
      <c r="AA47" s="98"/>
      <c r="AB47" s="102"/>
      <c r="AC47" s="95"/>
      <c r="AD47" s="459"/>
      <c r="AE47" s="459"/>
      <c r="AF47" s="98"/>
      <c r="AG47" s="95"/>
      <c r="AH47" s="95"/>
      <c r="AJ47" s="301">
        <f t="shared" si="194"/>
        <v>0</v>
      </c>
      <c r="AK47" s="301">
        <f t="shared" si="208"/>
        <v>0</v>
      </c>
      <c r="AL47" s="301"/>
      <c r="AM47" s="301">
        <f>+IF(C47=0.333,1.33,0)</f>
        <v>0</v>
      </c>
      <c r="AN47" s="299"/>
      <c r="AO47" s="301"/>
      <c r="AP47" s="301"/>
    </row>
    <row r="48" spans="2:42" ht="27.6" x14ac:dyDescent="0.3">
      <c r="B48" s="92"/>
      <c r="C48" s="97" t="s">
        <v>407</v>
      </c>
      <c r="D48" s="98"/>
      <c r="E48" s="92"/>
      <c r="F48" s="92"/>
      <c r="G48" s="98"/>
      <c r="H48" s="98"/>
      <c r="I48" s="94"/>
      <c r="J48" s="424"/>
      <c r="K48" s="425"/>
      <c r="L48" s="425"/>
      <c r="M48" s="424"/>
      <c r="N48" s="425"/>
      <c r="O48" s="425"/>
      <c r="P48" s="424"/>
      <c r="Q48" s="425"/>
      <c r="R48" s="425"/>
      <c r="S48" s="426"/>
      <c r="T48" s="426"/>
      <c r="U48" s="102"/>
      <c r="V48" s="95"/>
      <c r="W48" s="102"/>
      <c r="X48" s="98"/>
      <c r="Y48" s="102"/>
      <c r="Z48" s="98"/>
      <c r="AA48" s="98"/>
      <c r="AB48" s="102"/>
      <c r="AC48" s="95"/>
      <c r="AD48" s="459"/>
      <c r="AE48" s="459"/>
      <c r="AF48" s="98"/>
      <c r="AG48" s="95"/>
      <c r="AH48" s="95"/>
      <c r="AJ48" s="301">
        <f t="shared" si="194"/>
        <v>0</v>
      </c>
      <c r="AK48" s="301">
        <f t="shared" si="208"/>
        <v>0</v>
      </c>
      <c r="AL48" s="301"/>
      <c r="AM48" s="301"/>
      <c r="AN48" s="299"/>
      <c r="AO48" s="301"/>
      <c r="AP48" s="301"/>
    </row>
    <row r="49" spans="2:42" ht="19.95" customHeight="1" x14ac:dyDescent="0.3">
      <c r="B49" s="92"/>
      <c r="C49" s="95" t="s">
        <v>33</v>
      </c>
      <c r="D49" s="98">
        <v>0.66700000000000004</v>
      </c>
      <c r="E49" s="92">
        <v>1</v>
      </c>
      <c r="F49" s="92">
        <v>1</v>
      </c>
      <c r="G49" s="98">
        <f>(2.14)*3.281</f>
        <v>7.0213400000000004</v>
      </c>
      <c r="H49" s="98">
        <f t="shared" ref="H49:H52" si="209">+D49</f>
        <v>0.66700000000000004</v>
      </c>
      <c r="I49" s="94">
        <v>1.5</v>
      </c>
      <c r="J49" s="424">
        <v>3</v>
      </c>
      <c r="K49" s="425">
        <f t="shared" ref="K49:K52" si="210">+IF(D49=0.667,E49*F49*G49*H49*J49,0)</f>
        <v>14.04970134</v>
      </c>
      <c r="L49" s="425">
        <f t="shared" ref="L49:L52" si="211">+IF(D49=0.333,E49*F49*G49*J49,0)</f>
        <v>0</v>
      </c>
      <c r="M49" s="424">
        <v>4</v>
      </c>
      <c r="N49" s="425">
        <f t="shared" ref="N49:N52" si="212">+IF(D49=0.667,E49*F49*G49*H49*M49,0)</f>
        <v>18.73293512</v>
      </c>
      <c r="O49" s="425">
        <f t="shared" ref="O49:O52" si="213">+IF(D49=0.333,E49*F49*G49*M49,0)</f>
        <v>0</v>
      </c>
      <c r="P49" s="424">
        <f>9.667-I49-M49-J49</f>
        <v>1.1669999999999998</v>
      </c>
      <c r="Q49" s="425">
        <f t="shared" ref="Q49:Q52" si="214">+IF(D49=0.667,E49*F49*G49*H49*P49,0)</f>
        <v>5.4653338212599989</v>
      </c>
      <c r="R49" s="425">
        <f t="shared" ref="R49:R52" si="215">+IF(D49=0.333,E49*F49*G49*P49,0)</f>
        <v>0</v>
      </c>
      <c r="S49" s="426">
        <f t="shared" ref="S49:S52" si="216">+Q49+N49+K49</f>
        <v>38.247970281260002</v>
      </c>
      <c r="T49" s="426">
        <f t="shared" ref="T49:T52" si="217">+R49+O49+L49</f>
        <v>0</v>
      </c>
      <c r="U49" s="102"/>
      <c r="V49" s="95"/>
      <c r="W49" s="102"/>
      <c r="X49" s="98"/>
      <c r="Y49" s="102"/>
      <c r="Z49" s="98"/>
      <c r="AA49" s="98"/>
      <c r="AB49" s="102">
        <f t="shared" ref="AB49:AB52" si="218">2*F49*W49*X49</f>
        <v>0</v>
      </c>
      <c r="AC49" s="95"/>
      <c r="AD49" s="459"/>
      <c r="AE49" s="459">
        <f t="shared" ref="AE49:AE52" si="219">+IF(D49=0.667,AD49*W49*H49*F49,0)</f>
        <v>0</v>
      </c>
      <c r="AF49" s="98"/>
      <c r="AG49" s="102">
        <v>1</v>
      </c>
      <c r="AH49" s="102">
        <f>+AG49*F49*G49*0.17</f>
        <v>1.1936278000000002</v>
      </c>
      <c r="AJ49" s="301">
        <f t="shared" si="194"/>
        <v>7.0213400000000004</v>
      </c>
      <c r="AK49" s="301">
        <f t="shared" si="208"/>
        <v>0</v>
      </c>
      <c r="AL49" s="301">
        <f t="shared" ref="AL49:AL50" si="220">+IF(C49=0.667,1,0)</f>
        <v>0</v>
      </c>
      <c r="AM49" s="301">
        <f>+IF(C49=0.333,1.33,0)</f>
        <v>0</v>
      </c>
      <c r="AN49" s="299"/>
      <c r="AO49" s="301">
        <f>+S49</f>
        <v>38.247970281260002</v>
      </c>
      <c r="AP49" s="301"/>
    </row>
    <row r="50" spans="2:42" ht="19.95" customHeight="1" x14ac:dyDescent="0.3">
      <c r="B50" s="92"/>
      <c r="C50" s="95" t="s">
        <v>402</v>
      </c>
      <c r="D50" s="98">
        <v>0.66700000000000004</v>
      </c>
      <c r="E50" s="92">
        <v>-1</v>
      </c>
      <c r="F50" s="92">
        <v>1</v>
      </c>
      <c r="G50" s="98">
        <v>3</v>
      </c>
      <c r="H50" s="98">
        <f t="shared" si="209"/>
        <v>0.66700000000000004</v>
      </c>
      <c r="I50" s="102"/>
      <c r="J50" s="424">
        <v>3</v>
      </c>
      <c r="K50" s="425">
        <f t="shared" si="210"/>
        <v>-6.003000000000001</v>
      </c>
      <c r="L50" s="425">
        <f t="shared" si="211"/>
        <v>0</v>
      </c>
      <c r="M50" s="424">
        <v>4</v>
      </c>
      <c r="N50" s="425">
        <f t="shared" si="212"/>
        <v>-8.0040000000000013</v>
      </c>
      <c r="O50" s="425">
        <f t="shared" si="213"/>
        <v>0</v>
      </c>
      <c r="P50" s="424"/>
      <c r="Q50" s="425">
        <f t="shared" si="214"/>
        <v>0</v>
      </c>
      <c r="R50" s="425">
        <f t="shared" si="215"/>
        <v>0</v>
      </c>
      <c r="S50" s="426">
        <f t="shared" si="216"/>
        <v>-14.007000000000001</v>
      </c>
      <c r="T50" s="426">
        <f t="shared" si="217"/>
        <v>0</v>
      </c>
      <c r="U50" s="102"/>
      <c r="V50" s="95"/>
      <c r="W50" s="98">
        <f>+G50+D50*2</f>
        <v>4.3339999999999996</v>
      </c>
      <c r="X50" s="98">
        <v>0.5</v>
      </c>
      <c r="Y50" s="98">
        <f>+IF(D50=0.667,-E50*F50*H50*W50*X50,0)</f>
        <v>1.445389</v>
      </c>
      <c r="Z50" s="98">
        <f>+IF(D50=0.333,-E50*F50*H50*W50*X50,0)</f>
        <v>0</v>
      </c>
      <c r="AA50" s="98">
        <f>+F50*W50*H50</f>
        <v>2.8907780000000001</v>
      </c>
      <c r="AB50" s="102">
        <f t="shared" si="218"/>
        <v>4.3339999999999996</v>
      </c>
      <c r="AC50" s="95"/>
      <c r="AD50" s="459">
        <v>0.16700000000000001</v>
      </c>
      <c r="AE50" s="459">
        <f t="shared" si="219"/>
        <v>0.48275992600000006</v>
      </c>
      <c r="AF50" s="98"/>
      <c r="AG50" s="95"/>
      <c r="AH50" s="95"/>
      <c r="AJ50" s="301"/>
      <c r="AK50" s="301">
        <f t="shared" si="208"/>
        <v>0</v>
      </c>
      <c r="AL50" s="301">
        <f t="shared" si="220"/>
        <v>0</v>
      </c>
      <c r="AM50" s="301">
        <f>+IF(C50=0.333,1.33,0)</f>
        <v>0</v>
      </c>
      <c r="AN50" s="299"/>
      <c r="AO50" s="301">
        <f>+S50</f>
        <v>-14.007000000000001</v>
      </c>
      <c r="AP50" s="301"/>
    </row>
    <row r="51" spans="2:42" ht="19.95" customHeight="1" x14ac:dyDescent="0.3">
      <c r="B51" s="92"/>
      <c r="C51" s="95" t="s">
        <v>32</v>
      </c>
      <c r="D51" s="98">
        <v>0.66700000000000004</v>
      </c>
      <c r="E51" s="92">
        <v>1</v>
      </c>
      <c r="F51" s="92">
        <v>1</v>
      </c>
      <c r="G51" s="98">
        <f>(2.14)*3.281</f>
        <v>7.0213400000000004</v>
      </c>
      <c r="H51" s="98">
        <f t="shared" si="209"/>
        <v>0.66700000000000004</v>
      </c>
      <c r="I51" s="94">
        <v>1.5</v>
      </c>
      <c r="J51" s="424">
        <v>3</v>
      </c>
      <c r="K51" s="425">
        <f t="shared" si="210"/>
        <v>14.04970134</v>
      </c>
      <c r="L51" s="425">
        <f t="shared" si="211"/>
        <v>0</v>
      </c>
      <c r="M51" s="424">
        <v>4</v>
      </c>
      <c r="N51" s="425">
        <f t="shared" si="212"/>
        <v>18.73293512</v>
      </c>
      <c r="O51" s="425">
        <f t="shared" si="213"/>
        <v>0</v>
      </c>
      <c r="P51" s="424">
        <f t="shared" ref="P51:P52" si="221">9.667-I51-M51-J51</f>
        <v>1.1669999999999998</v>
      </c>
      <c r="Q51" s="425">
        <f t="shared" si="214"/>
        <v>5.4653338212599989</v>
      </c>
      <c r="R51" s="425">
        <f t="shared" si="215"/>
        <v>0</v>
      </c>
      <c r="S51" s="426">
        <f t="shared" si="216"/>
        <v>38.247970281260002</v>
      </c>
      <c r="T51" s="426">
        <f t="shared" si="217"/>
        <v>0</v>
      </c>
      <c r="U51" s="102"/>
      <c r="V51" s="95"/>
      <c r="W51" s="102"/>
      <c r="X51" s="98"/>
      <c r="Y51" s="102"/>
      <c r="Z51" s="98"/>
      <c r="AA51" s="98"/>
      <c r="AB51" s="102">
        <f t="shared" si="218"/>
        <v>0</v>
      </c>
      <c r="AC51" s="95"/>
      <c r="AD51" s="459"/>
      <c r="AE51" s="459">
        <f t="shared" si="219"/>
        <v>0</v>
      </c>
      <c r="AF51" s="98"/>
      <c r="AG51" s="102">
        <v>1</v>
      </c>
      <c r="AH51" s="102">
        <f>+AG51*F51*G51*0.17</f>
        <v>1.1936278000000002</v>
      </c>
      <c r="AJ51" s="301">
        <f t="shared" ref="AJ51:AJ56" si="222">+IF(D51=0.667,E51*F51*G51,0)</f>
        <v>7.0213400000000004</v>
      </c>
      <c r="AK51" s="301">
        <v>0</v>
      </c>
      <c r="AL51" s="301"/>
      <c r="AM51" s="301"/>
      <c r="AN51" s="299"/>
      <c r="AO51" s="301">
        <f>+S51</f>
        <v>38.247970281260002</v>
      </c>
      <c r="AP51" s="301"/>
    </row>
    <row r="52" spans="2:42" ht="19.95" customHeight="1" x14ac:dyDescent="0.3">
      <c r="B52" s="92"/>
      <c r="C52" s="95" t="s">
        <v>41</v>
      </c>
      <c r="D52" s="98">
        <v>0.66700000000000004</v>
      </c>
      <c r="E52" s="92">
        <v>1</v>
      </c>
      <c r="F52" s="92">
        <v>1</v>
      </c>
      <c r="G52" s="98">
        <f>(2.55)*3.281</f>
        <v>8.3665500000000002</v>
      </c>
      <c r="H52" s="98">
        <f t="shared" si="209"/>
        <v>0.66700000000000004</v>
      </c>
      <c r="I52" s="94">
        <v>1.5</v>
      </c>
      <c r="J52" s="424">
        <v>3</v>
      </c>
      <c r="K52" s="425">
        <f t="shared" si="210"/>
        <v>16.741466549999998</v>
      </c>
      <c r="L52" s="425">
        <f t="shared" si="211"/>
        <v>0</v>
      </c>
      <c r="M52" s="424">
        <v>4</v>
      </c>
      <c r="N52" s="425">
        <f t="shared" si="212"/>
        <v>22.3219554</v>
      </c>
      <c r="O52" s="425">
        <f t="shared" si="213"/>
        <v>0</v>
      </c>
      <c r="P52" s="424">
        <f t="shared" si="221"/>
        <v>1.1669999999999998</v>
      </c>
      <c r="Q52" s="425">
        <f t="shared" si="214"/>
        <v>6.5124304879499988</v>
      </c>
      <c r="R52" s="425">
        <f t="shared" si="215"/>
        <v>0</v>
      </c>
      <c r="S52" s="426">
        <f t="shared" si="216"/>
        <v>45.575852437949997</v>
      </c>
      <c r="T52" s="426">
        <f t="shared" si="217"/>
        <v>0</v>
      </c>
      <c r="U52" s="102"/>
      <c r="V52" s="95"/>
      <c r="W52" s="102"/>
      <c r="X52" s="98"/>
      <c r="Y52" s="102"/>
      <c r="Z52" s="98"/>
      <c r="AA52" s="98"/>
      <c r="AB52" s="102">
        <f t="shared" si="218"/>
        <v>0</v>
      </c>
      <c r="AC52" s="95"/>
      <c r="AD52" s="459"/>
      <c r="AE52" s="459">
        <f t="shared" si="219"/>
        <v>0</v>
      </c>
      <c r="AF52" s="98"/>
      <c r="AG52" s="102">
        <v>1</v>
      </c>
      <c r="AH52" s="102">
        <f>+AG52*F52*G52*0.17</f>
        <v>1.4223135000000002</v>
      </c>
      <c r="AJ52" s="301">
        <f t="shared" si="222"/>
        <v>8.3665500000000002</v>
      </c>
      <c r="AK52" s="301"/>
      <c r="AL52" s="301">
        <f>+IF(C52=0.667,1,0)</f>
        <v>0</v>
      </c>
      <c r="AM52" s="301">
        <f>+IF(C52=0.333,1.33,0)</f>
        <v>0</v>
      </c>
      <c r="AN52" s="299"/>
      <c r="AO52" s="301">
        <f>+S52</f>
        <v>45.575852437949997</v>
      </c>
      <c r="AP52" s="301"/>
    </row>
    <row r="53" spans="2:42" ht="19.95" customHeight="1" x14ac:dyDescent="0.3">
      <c r="B53" s="296"/>
      <c r="C53" s="297"/>
      <c r="D53" s="298"/>
      <c r="E53" s="460"/>
      <c r="F53" s="461"/>
      <c r="G53" s="462"/>
      <c r="H53" s="299"/>
      <c r="I53" s="299"/>
      <c r="J53" s="463"/>
      <c r="K53" s="464"/>
      <c r="L53" s="464"/>
      <c r="M53" s="463"/>
      <c r="N53" s="464"/>
      <c r="O53" s="464"/>
      <c r="P53" s="463"/>
      <c r="Q53" s="464"/>
      <c r="R53" s="464"/>
      <c r="S53" s="465"/>
      <c r="T53" s="465"/>
      <c r="U53" s="299"/>
      <c r="V53" s="301"/>
      <c r="W53" s="299"/>
      <c r="X53" s="299"/>
      <c r="Y53" s="299"/>
      <c r="Z53" s="299"/>
      <c r="AA53" s="299"/>
      <c r="AB53" s="299"/>
      <c r="AC53" s="301"/>
      <c r="AD53" s="299"/>
      <c r="AE53" s="299"/>
      <c r="AF53" s="301"/>
      <c r="AG53" s="299"/>
      <c r="AH53" s="299"/>
      <c r="AJ53" s="301">
        <f t="shared" si="222"/>
        <v>0</v>
      </c>
      <c r="AK53" s="301">
        <f t="shared" ref="AK53:AK54" si="223">+IF(C53=0.333,D53*E53*F53,0)</f>
        <v>0</v>
      </c>
      <c r="AL53" s="301"/>
      <c r="AM53" s="301"/>
      <c r="AN53" s="299"/>
      <c r="AO53" s="301"/>
      <c r="AP53" s="301"/>
    </row>
    <row r="54" spans="2:42" ht="19.95" customHeight="1" x14ac:dyDescent="0.3">
      <c r="B54" s="296"/>
      <c r="C54" s="297"/>
      <c r="D54" s="298"/>
      <c r="E54" s="460"/>
      <c r="F54" s="461"/>
      <c r="G54" s="462"/>
      <c r="H54" s="299"/>
      <c r="I54" s="299"/>
      <c r="J54" s="463"/>
      <c r="K54" s="464"/>
      <c r="L54" s="464"/>
      <c r="M54" s="463"/>
      <c r="N54" s="464"/>
      <c r="O54" s="464"/>
      <c r="P54" s="463"/>
      <c r="Q54" s="464"/>
      <c r="R54" s="464"/>
      <c r="S54" s="465"/>
      <c r="T54" s="465"/>
      <c r="U54" s="299"/>
      <c r="V54" s="301"/>
      <c r="W54" s="299"/>
      <c r="X54" s="299"/>
      <c r="Y54" s="299"/>
      <c r="Z54" s="299"/>
      <c r="AA54" s="299"/>
      <c r="AB54" s="299"/>
      <c r="AC54" s="301"/>
      <c r="AD54" s="299"/>
      <c r="AE54" s="299"/>
      <c r="AF54" s="301"/>
      <c r="AG54" s="299"/>
      <c r="AH54" s="299"/>
      <c r="AJ54" s="301">
        <f t="shared" si="222"/>
        <v>0</v>
      </c>
      <c r="AK54" s="301">
        <f t="shared" si="223"/>
        <v>0</v>
      </c>
      <c r="AL54" s="301"/>
      <c r="AM54" s="301"/>
      <c r="AN54" s="299"/>
      <c r="AO54" s="301"/>
      <c r="AP54" s="301"/>
    </row>
    <row r="55" spans="2:42" ht="19.95" customHeight="1" x14ac:dyDescent="0.3">
      <c r="B55" s="92">
        <v>5</v>
      </c>
      <c r="C55" s="97" t="s">
        <v>408</v>
      </c>
      <c r="D55" s="98"/>
      <c r="E55" s="92"/>
      <c r="F55" s="92"/>
      <c r="G55" s="98"/>
      <c r="H55" s="98"/>
      <c r="I55" s="94"/>
      <c r="J55" s="424"/>
      <c r="K55" s="425"/>
      <c r="L55" s="425"/>
      <c r="M55" s="424"/>
      <c r="N55" s="425"/>
      <c r="O55" s="425"/>
      <c r="P55" s="424"/>
      <c r="Q55" s="425"/>
      <c r="R55" s="425"/>
      <c r="S55" s="426"/>
      <c r="T55" s="426"/>
      <c r="U55" s="102"/>
      <c r="V55" s="95"/>
      <c r="W55" s="102"/>
      <c r="X55" s="98"/>
      <c r="Y55" s="102"/>
      <c r="Z55" s="98"/>
      <c r="AA55" s="98"/>
      <c r="AB55" s="102"/>
      <c r="AC55" s="95"/>
      <c r="AD55" s="459"/>
      <c r="AE55" s="459"/>
      <c r="AF55" s="98"/>
      <c r="AG55" s="95"/>
      <c r="AH55" s="95"/>
      <c r="AJ55" s="301">
        <f t="shared" si="222"/>
        <v>0</v>
      </c>
      <c r="AK55" s="301"/>
      <c r="AL55" s="301"/>
      <c r="AM55" s="301"/>
      <c r="AN55" s="299"/>
      <c r="AO55" s="301"/>
      <c r="AP55" s="301"/>
    </row>
    <row r="56" spans="2:42" ht="19.95" customHeight="1" x14ac:dyDescent="0.3">
      <c r="B56" s="92"/>
      <c r="C56" s="95" t="s">
        <v>132</v>
      </c>
      <c r="D56" s="98">
        <v>0.66700000000000004</v>
      </c>
      <c r="E56" s="92">
        <v>1</v>
      </c>
      <c r="F56" s="92">
        <v>1</v>
      </c>
      <c r="G56" s="98">
        <f>+(2.14+2.55+2.14)*3.281</f>
        <v>22.409230000000001</v>
      </c>
      <c r="H56" s="98">
        <f t="shared" ref="H56" si="224">+D56</f>
        <v>0.66700000000000004</v>
      </c>
      <c r="I56" s="94">
        <v>1.5</v>
      </c>
      <c r="J56" s="466">
        <v>3</v>
      </c>
      <c r="K56" s="425">
        <f t="shared" ref="K56" si="225">+IF(D56=0.667,E56*F56*G56*H56*J56,0)</f>
        <v>44.84086923000001</v>
      </c>
      <c r="L56" s="425">
        <f t="shared" ref="L56" si="226">+IF(D56=0.333,E56*F56*G56*J56,0)</f>
        <v>0</v>
      </c>
      <c r="M56" s="424">
        <v>0</v>
      </c>
      <c r="N56" s="425">
        <f t="shared" ref="N56" si="227">+IF(D56=0.667,E56*F56*G56*H56*M56,0)</f>
        <v>0</v>
      </c>
      <c r="O56" s="425">
        <f t="shared" ref="O56" si="228">+IF(D56=0.333,E56*F56*G56*M56,0)</f>
        <v>0</v>
      </c>
      <c r="P56" s="424">
        <v>0</v>
      </c>
      <c r="Q56" s="425">
        <f t="shared" ref="Q56" si="229">+IF(D56=0.667,E56*F56*G56*H56*P56,0)</f>
        <v>0</v>
      </c>
      <c r="R56" s="425">
        <f t="shared" ref="R56" si="230">+IF(D56=0.333,E56*F56*G56*P56,0)</f>
        <v>0</v>
      </c>
      <c r="S56" s="426">
        <f>+Q56+N56+K56</f>
        <v>44.84086923000001</v>
      </c>
      <c r="T56" s="426">
        <f t="shared" ref="T56" si="231">+R56+O56+L56</f>
        <v>0</v>
      </c>
      <c r="U56" s="102"/>
      <c r="V56" s="95"/>
      <c r="W56" s="102"/>
      <c r="X56" s="98"/>
      <c r="Y56" s="102"/>
      <c r="Z56" s="98"/>
      <c r="AA56" s="98"/>
      <c r="AB56" s="102">
        <f t="shared" ref="AB56" si="232">2*F56*W56*X56</f>
        <v>0</v>
      </c>
      <c r="AC56" s="95"/>
      <c r="AD56" s="459"/>
      <c r="AE56" s="459">
        <f t="shared" ref="AE56" si="233">+IF(D56=0.667,AD56*W56*H56*F56,0)</f>
        <v>0</v>
      </c>
      <c r="AF56" s="98"/>
      <c r="AG56" s="102">
        <v>1</v>
      </c>
      <c r="AH56" s="102">
        <f>+AG56*F56*G56*0.17</f>
        <v>3.8095691000000005</v>
      </c>
      <c r="AJ56" s="301">
        <f t="shared" si="222"/>
        <v>22.409230000000001</v>
      </c>
      <c r="AK56" s="301"/>
      <c r="AL56" s="301"/>
      <c r="AM56" s="301"/>
      <c r="AN56" s="299"/>
      <c r="AO56" s="301">
        <f>+S56</f>
        <v>44.84086923000001</v>
      </c>
      <c r="AP56" s="301"/>
    </row>
    <row r="57" spans="2:42" ht="19.95" customHeight="1" x14ac:dyDescent="0.3">
      <c r="B57" s="369"/>
      <c r="C57" s="370"/>
      <c r="D57" s="371"/>
      <c r="E57" s="369"/>
      <c r="F57" s="369"/>
      <c r="G57" s="371"/>
      <c r="H57" s="371"/>
      <c r="I57" s="372"/>
      <c r="J57" s="424"/>
      <c r="K57" s="398"/>
      <c r="L57" s="398"/>
      <c r="M57" s="397"/>
      <c r="N57" s="398"/>
      <c r="O57" s="398"/>
      <c r="P57" s="397"/>
      <c r="Q57" s="398"/>
      <c r="R57" s="398"/>
      <c r="S57" s="399"/>
      <c r="T57" s="399"/>
      <c r="U57" s="374"/>
      <c r="V57" s="370"/>
      <c r="W57" s="374"/>
      <c r="X57" s="371"/>
      <c r="Y57" s="374"/>
      <c r="Z57" s="371"/>
      <c r="AA57" s="371"/>
      <c r="AB57" s="374"/>
      <c r="AC57" s="370"/>
      <c r="AD57" s="377"/>
      <c r="AE57" s="377"/>
      <c r="AF57" s="371"/>
      <c r="AG57" s="374"/>
      <c r="AH57" s="374"/>
      <c r="AJ57" s="378"/>
      <c r="AK57" s="378"/>
      <c r="AL57" s="378"/>
      <c r="AM57" s="378"/>
      <c r="AN57" s="374"/>
      <c r="AO57" s="378"/>
      <c r="AP57" s="378"/>
    </row>
    <row r="58" spans="2:42" ht="27.6" x14ac:dyDescent="0.3">
      <c r="B58" s="92">
        <v>4</v>
      </c>
      <c r="C58" s="97" t="s">
        <v>409</v>
      </c>
      <c r="D58" s="98"/>
      <c r="E58" s="92"/>
      <c r="F58" s="92"/>
      <c r="G58" s="98"/>
      <c r="H58" s="98"/>
      <c r="I58" s="94"/>
      <c r="J58" s="424"/>
      <c r="K58" s="425"/>
      <c r="L58" s="425"/>
      <c r="M58" s="424"/>
      <c r="N58" s="425"/>
      <c r="O58" s="425"/>
      <c r="P58" s="424"/>
      <c r="Q58" s="425"/>
      <c r="R58" s="425"/>
      <c r="S58" s="426"/>
      <c r="T58" s="426"/>
      <c r="U58" s="102"/>
      <c r="V58" s="95"/>
      <c r="W58" s="102"/>
      <c r="X58" s="98"/>
      <c r="Y58" s="102"/>
      <c r="Z58" s="98"/>
      <c r="AA58" s="98"/>
      <c r="AB58" s="102"/>
      <c r="AC58" s="95"/>
      <c r="AD58" s="459"/>
      <c r="AE58" s="459"/>
      <c r="AF58" s="98"/>
      <c r="AG58" s="95"/>
      <c r="AH58" s="95"/>
      <c r="AJ58" s="301">
        <f t="shared" ref="AJ58:AJ66" si="234">+IF(D58=0.667,E58*F58*G58,0)</f>
        <v>0</v>
      </c>
      <c r="AK58" s="301">
        <f t="shared" ref="AK58" si="235">+IF(C58=0.333,D58*E58*F58,0)</f>
        <v>0</v>
      </c>
      <c r="AL58" s="301"/>
      <c r="AM58" s="301"/>
      <c r="AN58" s="299"/>
      <c r="AO58" s="301"/>
      <c r="AP58" s="301"/>
    </row>
    <row r="59" spans="2:42" ht="19.95" customHeight="1" x14ac:dyDescent="0.3">
      <c r="B59" s="92"/>
      <c r="C59" s="95" t="s">
        <v>32</v>
      </c>
      <c r="D59" s="98">
        <v>0.66700000000000004</v>
      </c>
      <c r="E59" s="92">
        <v>1</v>
      </c>
      <c r="F59" s="92">
        <v>1</v>
      </c>
      <c r="G59" s="98">
        <f>3.36*3.281</f>
        <v>11.02416</v>
      </c>
      <c r="H59" s="98">
        <f t="shared" ref="H59:H63" si="236">+D59</f>
        <v>0.66700000000000004</v>
      </c>
      <c r="I59" s="94">
        <v>1.5</v>
      </c>
      <c r="J59" s="424">
        <v>3</v>
      </c>
      <c r="K59" s="425">
        <f t="shared" ref="K59:K63" si="237">+IF(D59=0.667,E59*F59*G59*H59*J59,0)</f>
        <v>22.059344160000002</v>
      </c>
      <c r="L59" s="425">
        <f t="shared" ref="L59:L63" si="238">+IF(D59=0.333,E59*F59*G59*J59,0)</f>
        <v>0</v>
      </c>
      <c r="M59" s="424">
        <v>4</v>
      </c>
      <c r="N59" s="425">
        <f t="shared" ref="N59:N63" si="239">+IF(D59=0.667,E59*F59*G59*H59*M59,0)</f>
        <v>29.412458880000003</v>
      </c>
      <c r="O59" s="425">
        <f t="shared" ref="O59:O63" si="240">+IF(D59=0.333,E59*F59*G59*M59,0)</f>
        <v>0</v>
      </c>
      <c r="P59" s="424">
        <f t="shared" ref="P59:P62" si="241">9.667-I59-M59-J59</f>
        <v>1.1669999999999998</v>
      </c>
      <c r="Q59" s="425">
        <f t="shared" ref="Q59:Q63" si="242">+IF(D59=0.667,E59*F59*G59*H59*P59,0)</f>
        <v>8.5810848782399987</v>
      </c>
      <c r="R59" s="425">
        <f t="shared" ref="R59:R63" si="243">+IF(D59=0.333,E59*F59*G59*P59,0)</f>
        <v>0</v>
      </c>
      <c r="S59" s="426">
        <f t="shared" ref="S59:S62" si="244">+Q59+N59+K59</f>
        <v>60.052887918240003</v>
      </c>
      <c r="T59" s="426">
        <f t="shared" ref="T59:T62" si="245">+R59+O59+L59</f>
        <v>0</v>
      </c>
      <c r="U59" s="102"/>
      <c r="V59" s="95"/>
      <c r="W59" s="102"/>
      <c r="X59" s="98"/>
      <c r="Y59" s="102"/>
      <c r="Z59" s="98"/>
      <c r="AA59" s="98"/>
      <c r="AB59" s="102">
        <f t="shared" ref="AB59:AB63" si="246">2*F59*W59*X59</f>
        <v>0</v>
      </c>
      <c r="AC59" s="95"/>
      <c r="AD59" s="459"/>
      <c r="AE59" s="459">
        <f t="shared" ref="AE59:AE63" si="247">+IF(D59=0.667,AD59*W59*H59*F59,0)</f>
        <v>0</v>
      </c>
      <c r="AF59" s="98"/>
      <c r="AG59" s="102">
        <v>1</v>
      </c>
      <c r="AH59" s="102">
        <f>+AG59*F59*G59*0.17</f>
        <v>1.8741072000000001</v>
      </c>
      <c r="AJ59" s="301">
        <f t="shared" si="234"/>
        <v>11.02416</v>
      </c>
      <c r="AK59" s="301"/>
      <c r="AL59" s="301"/>
      <c r="AM59" s="301"/>
      <c r="AN59" s="299"/>
      <c r="AO59" s="301"/>
      <c r="AP59" s="301"/>
    </row>
    <row r="60" spans="2:42" ht="19.95" customHeight="1" x14ac:dyDescent="0.3">
      <c r="B60" s="92"/>
      <c r="C60" s="95" t="s">
        <v>31</v>
      </c>
      <c r="D60" s="98">
        <v>0.66700000000000004</v>
      </c>
      <c r="E60" s="92">
        <v>1</v>
      </c>
      <c r="F60" s="92">
        <v>1</v>
      </c>
      <c r="G60" s="98">
        <f>(2.993+3.563)*3.281</f>
        <v>21.510236000000003</v>
      </c>
      <c r="H60" s="98">
        <f t="shared" si="236"/>
        <v>0.66700000000000004</v>
      </c>
      <c r="I60" s="94">
        <v>1.5</v>
      </c>
      <c r="J60" s="424">
        <v>3</v>
      </c>
      <c r="K60" s="425">
        <f t="shared" si="237"/>
        <v>43.04198223600001</v>
      </c>
      <c r="L60" s="425">
        <f t="shared" si="238"/>
        <v>0</v>
      </c>
      <c r="M60" s="424">
        <v>4</v>
      </c>
      <c r="N60" s="425">
        <f t="shared" si="239"/>
        <v>57.389309648000008</v>
      </c>
      <c r="O60" s="425">
        <f t="shared" si="240"/>
        <v>0</v>
      </c>
      <c r="P60" s="424">
        <f t="shared" si="241"/>
        <v>1.1669999999999998</v>
      </c>
      <c r="Q60" s="425">
        <f t="shared" si="242"/>
        <v>16.743331089803998</v>
      </c>
      <c r="R60" s="425">
        <f t="shared" si="243"/>
        <v>0</v>
      </c>
      <c r="S60" s="426">
        <f t="shared" si="244"/>
        <v>117.17462297380402</v>
      </c>
      <c r="T60" s="426">
        <f t="shared" si="245"/>
        <v>0</v>
      </c>
      <c r="U60" s="102"/>
      <c r="V60" s="95"/>
      <c r="W60" s="102"/>
      <c r="X60" s="98"/>
      <c r="Y60" s="102"/>
      <c r="Z60" s="98"/>
      <c r="AA60" s="98"/>
      <c r="AB60" s="102">
        <f t="shared" si="246"/>
        <v>0</v>
      </c>
      <c r="AC60" s="95"/>
      <c r="AD60" s="459"/>
      <c r="AE60" s="459">
        <f t="shared" si="247"/>
        <v>0</v>
      </c>
      <c r="AF60" s="98"/>
      <c r="AG60" s="102">
        <v>1</v>
      </c>
      <c r="AH60" s="102">
        <f>+AG60*F60*G60*0.17</f>
        <v>3.6567401200000007</v>
      </c>
      <c r="AJ60" s="301">
        <f t="shared" si="234"/>
        <v>21.510236000000003</v>
      </c>
      <c r="AK60" s="301">
        <f t="shared" ref="AK60:AK67" si="248">+IF(C60=0.333,D60*E60*F60,0)</f>
        <v>0</v>
      </c>
      <c r="AL60" s="301"/>
      <c r="AM60" s="301"/>
      <c r="AN60" s="299"/>
      <c r="AO60" s="301"/>
      <c r="AP60" s="301"/>
    </row>
    <row r="61" spans="2:42" ht="19.95" customHeight="1" x14ac:dyDescent="0.3">
      <c r="B61" s="92"/>
      <c r="C61" s="95" t="s">
        <v>38</v>
      </c>
      <c r="D61" s="98">
        <v>0.66700000000000004</v>
      </c>
      <c r="E61" s="92">
        <v>1</v>
      </c>
      <c r="F61" s="92">
        <v>1</v>
      </c>
      <c r="G61" s="98">
        <f>(1.5+1.64)*3.281</f>
        <v>10.302339999999999</v>
      </c>
      <c r="H61" s="98">
        <f t="shared" si="236"/>
        <v>0.66700000000000004</v>
      </c>
      <c r="I61" s="94">
        <v>1.5</v>
      </c>
      <c r="J61" s="424">
        <v>3</v>
      </c>
      <c r="K61" s="425">
        <f t="shared" si="237"/>
        <v>20.614982340000001</v>
      </c>
      <c r="L61" s="425">
        <f t="shared" si="238"/>
        <v>0</v>
      </c>
      <c r="M61" s="424">
        <v>4</v>
      </c>
      <c r="N61" s="425">
        <f t="shared" si="239"/>
        <v>27.48664312</v>
      </c>
      <c r="O61" s="425">
        <f t="shared" si="240"/>
        <v>0</v>
      </c>
      <c r="P61" s="424">
        <f t="shared" si="241"/>
        <v>1.1669999999999998</v>
      </c>
      <c r="Q61" s="425">
        <f t="shared" si="242"/>
        <v>8.0192281302599984</v>
      </c>
      <c r="R61" s="425">
        <f t="shared" si="243"/>
        <v>0</v>
      </c>
      <c r="S61" s="426">
        <f t="shared" si="244"/>
        <v>56.120853590259998</v>
      </c>
      <c r="T61" s="426">
        <f t="shared" si="245"/>
        <v>0</v>
      </c>
      <c r="U61" s="102"/>
      <c r="V61" s="95"/>
      <c r="W61" s="102"/>
      <c r="X61" s="98"/>
      <c r="Y61" s="102"/>
      <c r="Z61" s="98"/>
      <c r="AA61" s="98"/>
      <c r="AB61" s="102">
        <f t="shared" si="246"/>
        <v>0</v>
      </c>
      <c r="AC61" s="95"/>
      <c r="AD61" s="459"/>
      <c r="AE61" s="459">
        <f t="shared" si="247"/>
        <v>0</v>
      </c>
      <c r="AF61" s="98"/>
      <c r="AG61" s="102">
        <v>1</v>
      </c>
      <c r="AH61" s="102">
        <f>+AG61*F61*G61*0.17</f>
        <v>1.7513977999999999</v>
      </c>
      <c r="AJ61" s="301">
        <f t="shared" si="234"/>
        <v>10.302339999999999</v>
      </c>
      <c r="AK61" s="301">
        <f t="shared" si="248"/>
        <v>0</v>
      </c>
      <c r="AL61" s="301"/>
      <c r="AM61" s="301"/>
      <c r="AN61" s="299"/>
      <c r="AO61" s="301"/>
      <c r="AP61" s="301"/>
    </row>
    <row r="62" spans="2:42" ht="19.95" customHeight="1" x14ac:dyDescent="0.3">
      <c r="B62" s="92"/>
      <c r="C62" s="95" t="s">
        <v>401</v>
      </c>
      <c r="D62" s="98">
        <v>0.66700000000000004</v>
      </c>
      <c r="E62" s="92">
        <v>1</v>
      </c>
      <c r="F62" s="92">
        <v>1</v>
      </c>
      <c r="G62" s="555">
        <f>(5.772+3.11)*3.281</f>
        <v>29.141842</v>
      </c>
      <c r="H62" s="98">
        <f t="shared" si="236"/>
        <v>0.66700000000000004</v>
      </c>
      <c r="I62" s="94">
        <v>1.5</v>
      </c>
      <c r="J62" s="424">
        <v>3</v>
      </c>
      <c r="K62" s="425">
        <f t="shared" si="237"/>
        <v>58.312825842000009</v>
      </c>
      <c r="L62" s="425">
        <f t="shared" si="238"/>
        <v>0</v>
      </c>
      <c r="M62" s="424">
        <v>4</v>
      </c>
      <c r="N62" s="425">
        <f t="shared" si="239"/>
        <v>77.750434456000008</v>
      </c>
      <c r="O62" s="425">
        <f t="shared" si="240"/>
        <v>0</v>
      </c>
      <c r="P62" s="424">
        <f t="shared" si="241"/>
        <v>1.1669999999999998</v>
      </c>
      <c r="Q62" s="425">
        <f t="shared" si="242"/>
        <v>22.683689252537999</v>
      </c>
      <c r="R62" s="425">
        <f t="shared" si="243"/>
        <v>0</v>
      </c>
      <c r="S62" s="426">
        <f t="shared" si="244"/>
        <v>158.74694955053803</v>
      </c>
      <c r="T62" s="426">
        <f t="shared" si="245"/>
        <v>0</v>
      </c>
      <c r="U62" s="102"/>
      <c r="V62" s="95"/>
      <c r="W62" s="102"/>
      <c r="X62" s="98"/>
      <c r="Y62" s="102"/>
      <c r="Z62" s="98"/>
      <c r="AA62" s="98"/>
      <c r="AB62" s="102">
        <f t="shared" si="246"/>
        <v>0</v>
      </c>
      <c r="AC62" s="95"/>
      <c r="AD62" s="459"/>
      <c r="AE62" s="459">
        <f t="shared" si="247"/>
        <v>0</v>
      </c>
      <c r="AF62" s="98"/>
      <c r="AG62" s="102">
        <v>1</v>
      </c>
      <c r="AH62" s="102">
        <f>+AG62*F62*G62*0.17</f>
        <v>4.9541131400000005</v>
      </c>
      <c r="AJ62" s="301">
        <f t="shared" si="234"/>
        <v>29.141842</v>
      </c>
      <c r="AK62" s="301">
        <f t="shared" si="248"/>
        <v>0</v>
      </c>
      <c r="AL62" s="301"/>
      <c r="AM62" s="301">
        <f>+IF(C62=0.333,1.33,0)</f>
        <v>0</v>
      </c>
      <c r="AN62" s="299"/>
      <c r="AO62" s="301"/>
      <c r="AP62" s="301"/>
    </row>
    <row r="63" spans="2:42" ht="19.95" customHeight="1" x14ac:dyDescent="0.3">
      <c r="B63" s="92"/>
      <c r="C63" s="95" t="s">
        <v>42</v>
      </c>
      <c r="D63" s="98">
        <v>0.66700000000000004</v>
      </c>
      <c r="E63" s="92">
        <v>-1</v>
      </c>
      <c r="F63" s="92">
        <v>1</v>
      </c>
      <c r="G63" s="98">
        <v>3.25</v>
      </c>
      <c r="H63" s="98">
        <f t="shared" si="236"/>
        <v>0.66700000000000004</v>
      </c>
      <c r="I63" s="102"/>
      <c r="J63" s="424">
        <v>3</v>
      </c>
      <c r="K63" s="425">
        <f t="shared" si="237"/>
        <v>-6.5032500000000013</v>
      </c>
      <c r="L63" s="425">
        <f t="shared" si="238"/>
        <v>0</v>
      </c>
      <c r="M63" s="424">
        <v>4</v>
      </c>
      <c r="N63" s="425">
        <f t="shared" si="239"/>
        <v>-8.6710000000000012</v>
      </c>
      <c r="O63" s="425">
        <f t="shared" si="240"/>
        <v>0</v>
      </c>
      <c r="P63" s="424"/>
      <c r="Q63" s="425">
        <f t="shared" si="242"/>
        <v>0</v>
      </c>
      <c r="R63" s="425">
        <f t="shared" si="243"/>
        <v>0</v>
      </c>
      <c r="S63" s="426">
        <f>+Q63+N63+K63</f>
        <v>-15.174250000000002</v>
      </c>
      <c r="T63" s="426">
        <f>+R63+O63+L63</f>
        <v>0</v>
      </c>
      <c r="U63" s="102"/>
      <c r="V63" s="95"/>
      <c r="W63" s="98">
        <f>+G63+D63*2</f>
        <v>4.5839999999999996</v>
      </c>
      <c r="X63" s="98">
        <v>0.5</v>
      </c>
      <c r="Y63" s="98">
        <f>+IF(D63=0.667,-E63*F63*H63*W63*X63,0)</f>
        <v>1.528764</v>
      </c>
      <c r="Z63" s="98">
        <f>+IF(D63=0.333,-E63*F63*H63*W63*X63,0)</f>
        <v>0</v>
      </c>
      <c r="AA63" s="98">
        <f>+F63*W63*H63</f>
        <v>3.057528</v>
      </c>
      <c r="AB63" s="102">
        <f t="shared" si="246"/>
        <v>4.5839999999999996</v>
      </c>
      <c r="AC63" s="95"/>
      <c r="AD63" s="459">
        <v>0.16700000000000001</v>
      </c>
      <c r="AE63" s="459">
        <f t="shared" si="247"/>
        <v>0.51060717600000005</v>
      </c>
      <c r="AF63" s="98"/>
      <c r="AG63" s="95"/>
      <c r="AH63" s="95"/>
      <c r="AJ63" s="301">
        <f t="shared" si="234"/>
        <v>-3.25</v>
      </c>
      <c r="AK63" s="301">
        <f t="shared" si="248"/>
        <v>0</v>
      </c>
      <c r="AL63" s="301">
        <f>+IF(C63=0.667,1,0)</f>
        <v>0</v>
      </c>
      <c r="AM63" s="301"/>
      <c r="AN63" s="299"/>
      <c r="AO63" s="301"/>
      <c r="AP63" s="301"/>
    </row>
    <row r="64" spans="2:42" ht="19.95" customHeight="1" x14ac:dyDescent="0.3">
      <c r="B64" s="92"/>
      <c r="C64" s="95"/>
      <c r="D64" s="98"/>
      <c r="E64" s="92"/>
      <c r="F64" s="92"/>
      <c r="G64" s="98"/>
      <c r="H64" s="98"/>
      <c r="I64" s="102"/>
      <c r="J64" s="424"/>
      <c r="K64" s="425"/>
      <c r="L64" s="425"/>
      <c r="M64" s="424"/>
      <c r="N64" s="425"/>
      <c r="O64" s="425"/>
      <c r="P64" s="424"/>
      <c r="Q64" s="425"/>
      <c r="R64" s="425"/>
      <c r="S64" s="426"/>
      <c r="T64" s="426"/>
      <c r="U64" s="102"/>
      <c r="V64" s="95"/>
      <c r="W64" s="98"/>
      <c r="X64" s="98"/>
      <c r="Y64" s="98"/>
      <c r="Z64" s="98"/>
      <c r="AA64" s="98"/>
      <c r="AB64" s="102"/>
      <c r="AC64" s="95"/>
      <c r="AD64" s="459"/>
      <c r="AE64" s="459"/>
      <c r="AF64" s="98"/>
      <c r="AG64" s="95"/>
      <c r="AH64" s="95"/>
      <c r="AJ64" s="301">
        <f t="shared" si="234"/>
        <v>0</v>
      </c>
      <c r="AK64" s="301">
        <f t="shared" si="248"/>
        <v>0</v>
      </c>
      <c r="AL64" s="301"/>
      <c r="AM64" s="301">
        <f>+IF(C64=0.333,1.33,0)</f>
        <v>0</v>
      </c>
      <c r="AN64" s="299"/>
      <c r="AO64" s="301"/>
      <c r="AP64" s="301"/>
    </row>
    <row r="65" spans="2:42" ht="27.6" x14ac:dyDescent="0.3">
      <c r="B65" s="92"/>
      <c r="C65" s="97" t="s">
        <v>407</v>
      </c>
      <c r="D65" s="98"/>
      <c r="E65" s="92"/>
      <c r="F65" s="92"/>
      <c r="G65" s="98"/>
      <c r="H65" s="98"/>
      <c r="I65" s="94"/>
      <c r="J65" s="424"/>
      <c r="K65" s="425"/>
      <c r="L65" s="425"/>
      <c r="M65" s="424"/>
      <c r="N65" s="425"/>
      <c r="O65" s="425"/>
      <c r="P65" s="424"/>
      <c r="Q65" s="425"/>
      <c r="R65" s="425"/>
      <c r="S65" s="426"/>
      <c r="T65" s="426"/>
      <c r="U65" s="102"/>
      <c r="V65" s="95"/>
      <c r="W65" s="102"/>
      <c r="X65" s="98"/>
      <c r="Y65" s="102"/>
      <c r="Z65" s="98"/>
      <c r="AA65" s="98"/>
      <c r="AB65" s="102"/>
      <c r="AC65" s="95"/>
      <c r="AD65" s="459"/>
      <c r="AE65" s="459"/>
      <c r="AF65" s="98"/>
      <c r="AG65" s="95"/>
      <c r="AH65" s="95"/>
      <c r="AJ65" s="301">
        <f t="shared" si="234"/>
        <v>0</v>
      </c>
      <c r="AK65" s="301">
        <f t="shared" si="248"/>
        <v>0</v>
      </c>
      <c r="AL65" s="301"/>
      <c r="AM65" s="301"/>
      <c r="AN65" s="299"/>
      <c r="AO65" s="301"/>
      <c r="AP65" s="301"/>
    </row>
    <row r="66" spans="2:42" ht="19.95" customHeight="1" x14ac:dyDescent="0.3">
      <c r="B66" s="92"/>
      <c r="C66" s="95" t="s">
        <v>33</v>
      </c>
      <c r="D66" s="98">
        <v>0.66700000000000004</v>
      </c>
      <c r="E66" s="92">
        <v>1</v>
      </c>
      <c r="F66" s="92">
        <v>1</v>
      </c>
      <c r="G66" s="98">
        <f>(2.135)*3.281</f>
        <v>7.0049349999999997</v>
      </c>
      <c r="H66" s="98">
        <f t="shared" ref="H66:H69" si="249">+D66</f>
        <v>0.66700000000000004</v>
      </c>
      <c r="I66" s="94">
        <v>1.5</v>
      </c>
      <c r="J66" s="424">
        <v>3</v>
      </c>
      <c r="K66" s="425">
        <f t="shared" ref="K66:K69" si="250">+IF(D66=0.667,E66*F66*G66*H66*J66,0)</f>
        <v>14.016874935000001</v>
      </c>
      <c r="L66" s="425">
        <f t="shared" ref="L66:L69" si="251">+IF(D66=0.333,E66*F66*G66*J66,0)</f>
        <v>0</v>
      </c>
      <c r="M66" s="424">
        <v>4</v>
      </c>
      <c r="N66" s="425">
        <f t="shared" ref="N66:N69" si="252">+IF(D66=0.667,E66*F66*G66*H66*M66,0)</f>
        <v>18.689166580000002</v>
      </c>
      <c r="O66" s="425">
        <f t="shared" ref="O66:O69" si="253">+IF(D66=0.333,E66*F66*G66*M66,0)</f>
        <v>0</v>
      </c>
      <c r="P66" s="424">
        <f>9.667-I66-M66-J66</f>
        <v>1.1669999999999998</v>
      </c>
      <c r="Q66" s="425">
        <f t="shared" ref="Q66:Q69" si="254">+IF(D66=0.667,E66*F66*G66*H66*P66,0)</f>
        <v>5.4525643497149998</v>
      </c>
      <c r="R66" s="425">
        <f t="shared" ref="R66:R69" si="255">+IF(D66=0.333,E66*F66*G66*P66,0)</f>
        <v>0</v>
      </c>
      <c r="S66" s="426">
        <f t="shared" ref="S66:S69" si="256">+Q66+N66+K66</f>
        <v>38.158605864715</v>
      </c>
      <c r="T66" s="426">
        <f t="shared" ref="T66:T69" si="257">+R66+O66+L66</f>
        <v>0</v>
      </c>
      <c r="U66" s="102"/>
      <c r="V66" s="95"/>
      <c r="W66" s="102"/>
      <c r="X66" s="98"/>
      <c r="Y66" s="102"/>
      <c r="Z66" s="98"/>
      <c r="AA66" s="98"/>
      <c r="AB66" s="102">
        <f t="shared" ref="AB66:AB69" si="258">2*F66*W66*X66</f>
        <v>0</v>
      </c>
      <c r="AC66" s="95"/>
      <c r="AD66" s="459"/>
      <c r="AE66" s="459">
        <f t="shared" ref="AE66:AE69" si="259">+IF(D66=0.667,AD66*W66*H66*F66,0)</f>
        <v>0</v>
      </c>
      <c r="AF66" s="98"/>
      <c r="AG66" s="102">
        <v>1</v>
      </c>
      <c r="AH66" s="102">
        <f>+AG66*F66*G66*0.17</f>
        <v>1.1908389500000001</v>
      </c>
      <c r="AJ66" s="301">
        <f t="shared" si="234"/>
        <v>7.0049349999999997</v>
      </c>
      <c r="AK66" s="301">
        <f t="shared" si="248"/>
        <v>0</v>
      </c>
      <c r="AL66" s="301">
        <f t="shared" ref="AL66:AL67" si="260">+IF(C66=0.667,1,0)</f>
        <v>0</v>
      </c>
      <c r="AM66" s="301">
        <f>+IF(C66=0.333,1.33,0)</f>
        <v>0</v>
      </c>
      <c r="AN66" s="299"/>
      <c r="AO66" s="301">
        <f t="shared" ref="AO66:AO69" si="261">+S66</f>
        <v>38.158605864715</v>
      </c>
      <c r="AP66" s="301"/>
    </row>
    <row r="67" spans="2:42" ht="19.95" customHeight="1" x14ac:dyDescent="0.3">
      <c r="B67" s="92"/>
      <c r="C67" s="95" t="s">
        <v>402</v>
      </c>
      <c r="D67" s="98">
        <v>0.66700000000000004</v>
      </c>
      <c r="E67" s="92">
        <v>-1</v>
      </c>
      <c r="F67" s="92">
        <v>1</v>
      </c>
      <c r="G67" s="98">
        <v>3</v>
      </c>
      <c r="H67" s="98">
        <f t="shared" si="249"/>
        <v>0.66700000000000004</v>
      </c>
      <c r="I67" s="102"/>
      <c r="J67" s="424">
        <v>3</v>
      </c>
      <c r="K67" s="425">
        <f t="shared" si="250"/>
        <v>-6.003000000000001</v>
      </c>
      <c r="L67" s="425">
        <f t="shared" si="251"/>
        <v>0</v>
      </c>
      <c r="M67" s="424">
        <v>4</v>
      </c>
      <c r="N67" s="425">
        <f t="shared" si="252"/>
        <v>-8.0040000000000013</v>
      </c>
      <c r="O67" s="425">
        <f t="shared" si="253"/>
        <v>0</v>
      </c>
      <c r="P67" s="424"/>
      <c r="Q67" s="425">
        <f t="shared" si="254"/>
        <v>0</v>
      </c>
      <c r="R67" s="425">
        <f t="shared" si="255"/>
        <v>0</v>
      </c>
      <c r="S67" s="426">
        <f t="shared" si="256"/>
        <v>-14.007000000000001</v>
      </c>
      <c r="T67" s="426">
        <f t="shared" si="257"/>
        <v>0</v>
      </c>
      <c r="U67" s="102"/>
      <c r="V67" s="95"/>
      <c r="W67" s="98">
        <f>+G67+D67*2</f>
        <v>4.3339999999999996</v>
      </c>
      <c r="X67" s="98">
        <v>0.5</v>
      </c>
      <c r="Y67" s="98">
        <f>+IF(D67=0.667,-E67*F67*H67*W67*X67,0)</f>
        <v>1.445389</v>
      </c>
      <c r="Z67" s="98">
        <f>+IF(D67=0.333,-E67*F67*H67*W67*X67,0)</f>
        <v>0</v>
      </c>
      <c r="AA67" s="98">
        <f>+F67*W67*H67</f>
        <v>2.8907780000000001</v>
      </c>
      <c r="AB67" s="102">
        <f t="shared" si="258"/>
        <v>4.3339999999999996</v>
      </c>
      <c r="AC67" s="95"/>
      <c r="AD67" s="459">
        <v>0.16700000000000001</v>
      </c>
      <c r="AE67" s="459">
        <f t="shared" si="259"/>
        <v>0.48275992600000006</v>
      </c>
      <c r="AF67" s="98"/>
      <c r="AG67" s="95"/>
      <c r="AH67" s="95"/>
      <c r="AJ67" s="301"/>
      <c r="AK67" s="301">
        <f t="shared" si="248"/>
        <v>0</v>
      </c>
      <c r="AL67" s="301">
        <f t="shared" si="260"/>
        <v>0</v>
      </c>
      <c r="AM67" s="301">
        <f>+IF(C67=0.333,1.33,0)</f>
        <v>0</v>
      </c>
      <c r="AN67" s="299"/>
      <c r="AO67" s="301">
        <f t="shared" si="261"/>
        <v>-14.007000000000001</v>
      </c>
      <c r="AP67" s="301"/>
    </row>
    <row r="68" spans="2:42" ht="19.95" customHeight="1" x14ac:dyDescent="0.3">
      <c r="B68" s="92"/>
      <c r="C68" s="95" t="s">
        <v>32</v>
      </c>
      <c r="D68" s="98">
        <v>0.66700000000000004</v>
      </c>
      <c r="E68" s="92">
        <v>1</v>
      </c>
      <c r="F68" s="92">
        <v>1</v>
      </c>
      <c r="G68" s="98">
        <f>(2.135)*3.281</f>
        <v>7.0049349999999997</v>
      </c>
      <c r="H68" s="98">
        <f t="shared" si="249"/>
        <v>0.66700000000000004</v>
      </c>
      <c r="I68" s="94">
        <v>1.5</v>
      </c>
      <c r="J68" s="424">
        <v>3</v>
      </c>
      <c r="K68" s="425">
        <f t="shared" si="250"/>
        <v>14.016874935000001</v>
      </c>
      <c r="L68" s="425">
        <f t="shared" si="251"/>
        <v>0</v>
      </c>
      <c r="M68" s="424">
        <v>4</v>
      </c>
      <c r="N68" s="425">
        <f t="shared" si="252"/>
        <v>18.689166580000002</v>
      </c>
      <c r="O68" s="425">
        <f t="shared" si="253"/>
        <v>0</v>
      </c>
      <c r="P68" s="424">
        <f t="shared" ref="P68:P69" si="262">9.667-I68-M68-J68</f>
        <v>1.1669999999999998</v>
      </c>
      <c r="Q68" s="425">
        <f t="shared" si="254"/>
        <v>5.4525643497149998</v>
      </c>
      <c r="R68" s="425">
        <f t="shared" si="255"/>
        <v>0</v>
      </c>
      <c r="S68" s="426">
        <f t="shared" si="256"/>
        <v>38.158605864715</v>
      </c>
      <c r="T68" s="426">
        <f t="shared" si="257"/>
        <v>0</v>
      </c>
      <c r="U68" s="102"/>
      <c r="V68" s="95"/>
      <c r="W68" s="102"/>
      <c r="X68" s="98"/>
      <c r="Y68" s="102"/>
      <c r="Z68" s="98"/>
      <c r="AA68" s="98"/>
      <c r="AB68" s="102">
        <f t="shared" si="258"/>
        <v>0</v>
      </c>
      <c r="AC68" s="95"/>
      <c r="AD68" s="459"/>
      <c r="AE68" s="459">
        <f t="shared" si="259"/>
        <v>0</v>
      </c>
      <c r="AF68" s="98"/>
      <c r="AG68" s="102">
        <v>1</v>
      </c>
      <c r="AH68" s="102">
        <f>+AG68*F68*G68*0.17</f>
        <v>1.1908389500000001</v>
      </c>
      <c r="AJ68" s="301">
        <f t="shared" ref="AJ68:AJ73" si="263">+IF(D68=0.667,E68*F68*G68,0)</f>
        <v>7.0049349999999997</v>
      </c>
      <c r="AK68" s="301">
        <v>0</v>
      </c>
      <c r="AL68" s="301"/>
      <c r="AM68" s="301"/>
      <c r="AN68" s="299"/>
      <c r="AO68" s="301">
        <f t="shared" si="261"/>
        <v>38.158605864715</v>
      </c>
      <c r="AP68" s="301"/>
    </row>
    <row r="69" spans="2:42" ht="19.95" customHeight="1" x14ac:dyDescent="0.3">
      <c r="B69" s="92"/>
      <c r="C69" s="95" t="s">
        <v>41</v>
      </c>
      <c r="D69" s="98">
        <v>0.66700000000000004</v>
      </c>
      <c r="E69" s="92">
        <v>1</v>
      </c>
      <c r="F69" s="92">
        <v>1</v>
      </c>
      <c r="G69" s="98">
        <f>(1.8)*3.281</f>
        <v>5.9058000000000002</v>
      </c>
      <c r="H69" s="98">
        <f t="shared" si="249"/>
        <v>0.66700000000000004</v>
      </c>
      <c r="I69" s="94">
        <v>1.5</v>
      </c>
      <c r="J69" s="424">
        <v>3</v>
      </c>
      <c r="K69" s="425">
        <f t="shared" si="250"/>
        <v>11.817505800000001</v>
      </c>
      <c r="L69" s="425">
        <f t="shared" si="251"/>
        <v>0</v>
      </c>
      <c r="M69" s="424">
        <v>4</v>
      </c>
      <c r="N69" s="425">
        <f t="shared" si="252"/>
        <v>15.756674400000001</v>
      </c>
      <c r="O69" s="425">
        <f t="shared" si="253"/>
        <v>0</v>
      </c>
      <c r="P69" s="424">
        <f t="shared" si="262"/>
        <v>1.1669999999999998</v>
      </c>
      <c r="Q69" s="425">
        <f t="shared" si="254"/>
        <v>4.5970097561999994</v>
      </c>
      <c r="R69" s="425">
        <f t="shared" si="255"/>
        <v>0</v>
      </c>
      <c r="S69" s="426">
        <f t="shared" si="256"/>
        <v>32.171189956200003</v>
      </c>
      <c r="T69" s="426">
        <f t="shared" si="257"/>
        <v>0</v>
      </c>
      <c r="U69" s="102"/>
      <c r="V69" s="95"/>
      <c r="W69" s="102"/>
      <c r="X69" s="98"/>
      <c r="Y69" s="102"/>
      <c r="Z69" s="98"/>
      <c r="AA69" s="98"/>
      <c r="AB69" s="102">
        <f t="shared" si="258"/>
        <v>0</v>
      </c>
      <c r="AC69" s="95"/>
      <c r="AD69" s="459"/>
      <c r="AE69" s="459">
        <f t="shared" si="259"/>
        <v>0</v>
      </c>
      <c r="AF69" s="98"/>
      <c r="AG69" s="102">
        <v>1</v>
      </c>
      <c r="AH69" s="102">
        <f>+AG69*F69*G69*0.17</f>
        <v>1.003986</v>
      </c>
      <c r="AJ69" s="301">
        <f t="shared" si="263"/>
        <v>5.9058000000000002</v>
      </c>
      <c r="AK69" s="301"/>
      <c r="AL69" s="301">
        <f>+IF(C69=0.667,1,0)</f>
        <v>0</v>
      </c>
      <c r="AM69" s="301">
        <f>+IF(C69=0.333,1.33,0)</f>
        <v>0</v>
      </c>
      <c r="AN69" s="299"/>
      <c r="AO69" s="301">
        <f t="shared" si="261"/>
        <v>32.171189956200003</v>
      </c>
      <c r="AP69" s="301"/>
    </row>
    <row r="70" spans="2:42" ht="19.95" customHeight="1" x14ac:dyDescent="0.3">
      <c r="B70" s="296"/>
      <c r="C70" s="297"/>
      <c r="D70" s="298"/>
      <c r="E70" s="460"/>
      <c r="F70" s="461"/>
      <c r="G70" s="462"/>
      <c r="H70" s="299"/>
      <c r="I70" s="299"/>
      <c r="J70" s="463"/>
      <c r="K70" s="464"/>
      <c r="L70" s="464"/>
      <c r="M70" s="463"/>
      <c r="N70" s="464"/>
      <c r="O70" s="464"/>
      <c r="P70" s="463"/>
      <c r="Q70" s="464"/>
      <c r="R70" s="464"/>
      <c r="S70" s="465"/>
      <c r="T70" s="465"/>
      <c r="U70" s="299"/>
      <c r="V70" s="301"/>
      <c r="W70" s="299"/>
      <c r="X70" s="299"/>
      <c r="Y70" s="299"/>
      <c r="Z70" s="299"/>
      <c r="AA70" s="299"/>
      <c r="AB70" s="299"/>
      <c r="AC70" s="301"/>
      <c r="AD70" s="299"/>
      <c r="AE70" s="299"/>
      <c r="AF70" s="301"/>
      <c r="AG70" s="299"/>
      <c r="AH70" s="299"/>
      <c r="AJ70" s="301">
        <f t="shared" si="263"/>
        <v>0</v>
      </c>
      <c r="AK70" s="301">
        <f t="shared" ref="AK70:AK71" si="264">+IF(C70=0.333,D70*E70*F70,0)</f>
        <v>0</v>
      </c>
      <c r="AL70" s="301"/>
      <c r="AM70" s="301"/>
      <c r="AN70" s="299"/>
      <c r="AO70" s="301"/>
      <c r="AP70" s="301"/>
    </row>
    <row r="71" spans="2:42" ht="19.95" customHeight="1" x14ac:dyDescent="0.3">
      <c r="B71" s="296"/>
      <c r="C71" s="297"/>
      <c r="D71" s="298"/>
      <c r="E71" s="460"/>
      <c r="F71" s="461"/>
      <c r="G71" s="462"/>
      <c r="H71" s="299"/>
      <c r="I71" s="299"/>
      <c r="J71" s="463"/>
      <c r="K71" s="464"/>
      <c r="L71" s="464"/>
      <c r="M71" s="463"/>
      <c r="N71" s="464"/>
      <c r="O71" s="464"/>
      <c r="P71" s="463"/>
      <c r="Q71" s="464"/>
      <c r="R71" s="464"/>
      <c r="S71" s="465"/>
      <c r="T71" s="465"/>
      <c r="U71" s="299"/>
      <c r="V71" s="301"/>
      <c r="W71" s="299"/>
      <c r="X71" s="299"/>
      <c r="Y71" s="299"/>
      <c r="Z71" s="299"/>
      <c r="AA71" s="299"/>
      <c r="AB71" s="299"/>
      <c r="AC71" s="301"/>
      <c r="AD71" s="299"/>
      <c r="AE71" s="299"/>
      <c r="AF71" s="301"/>
      <c r="AG71" s="299"/>
      <c r="AH71" s="299"/>
      <c r="AJ71" s="301">
        <f t="shared" si="263"/>
        <v>0</v>
      </c>
      <c r="AK71" s="301">
        <f t="shared" si="264"/>
        <v>0</v>
      </c>
      <c r="AL71" s="301"/>
      <c r="AM71" s="301"/>
      <c r="AN71" s="299"/>
      <c r="AO71" s="301"/>
      <c r="AP71" s="301"/>
    </row>
    <row r="72" spans="2:42" ht="19.95" customHeight="1" x14ac:dyDescent="0.3">
      <c r="B72" s="92">
        <v>5</v>
      </c>
      <c r="C72" s="97" t="s">
        <v>408</v>
      </c>
      <c r="D72" s="98"/>
      <c r="E72" s="92"/>
      <c r="F72" s="92"/>
      <c r="G72" s="98"/>
      <c r="H72" s="98"/>
      <c r="I72" s="94"/>
      <c r="J72" s="424"/>
      <c r="K72" s="425"/>
      <c r="L72" s="425"/>
      <c r="M72" s="424"/>
      <c r="N72" s="425"/>
      <c r="O72" s="425"/>
      <c r="P72" s="424"/>
      <c r="Q72" s="425"/>
      <c r="R72" s="425"/>
      <c r="S72" s="426"/>
      <c r="T72" s="426"/>
      <c r="U72" s="102"/>
      <c r="V72" s="95"/>
      <c r="W72" s="102"/>
      <c r="X72" s="98"/>
      <c r="Y72" s="102"/>
      <c r="Z72" s="98"/>
      <c r="AA72" s="98"/>
      <c r="AB72" s="102"/>
      <c r="AC72" s="95"/>
      <c r="AD72" s="459"/>
      <c r="AE72" s="459"/>
      <c r="AF72" s="98"/>
      <c r="AG72" s="95"/>
      <c r="AH72" s="95"/>
      <c r="AJ72" s="301">
        <f t="shared" si="263"/>
        <v>0</v>
      </c>
      <c r="AK72" s="301"/>
      <c r="AL72" s="301"/>
      <c r="AM72" s="301"/>
      <c r="AN72" s="299"/>
      <c r="AO72" s="301"/>
      <c r="AP72" s="301"/>
    </row>
    <row r="73" spans="2:42" ht="19.95" customHeight="1" x14ac:dyDescent="0.3">
      <c r="B73" s="92"/>
      <c r="C73" s="95" t="s">
        <v>132</v>
      </c>
      <c r="D73" s="98">
        <v>0.66700000000000004</v>
      </c>
      <c r="E73" s="92">
        <v>1</v>
      </c>
      <c r="F73" s="92">
        <v>1</v>
      </c>
      <c r="G73" s="98">
        <f>+(1.8+2.135+2.135)*3.281</f>
        <v>19.915669999999999</v>
      </c>
      <c r="H73" s="98">
        <f t="shared" ref="H73" si="265">+D73</f>
        <v>0.66700000000000004</v>
      </c>
      <c r="I73" s="94">
        <v>1.5</v>
      </c>
      <c r="J73" s="466">
        <v>3</v>
      </c>
      <c r="K73" s="425">
        <f t="shared" ref="K73" si="266">+IF(D73=0.667,E73*F73*G73*H73*J73,0)</f>
        <v>39.85125567</v>
      </c>
      <c r="L73" s="425">
        <f t="shared" ref="L73" si="267">+IF(D73=0.333,E73*F73*G73*J73,0)</f>
        <v>0</v>
      </c>
      <c r="M73" s="424">
        <v>0</v>
      </c>
      <c r="N73" s="425">
        <f t="shared" ref="N73" si="268">+IF(D73=0.667,E73*F73*G73*H73*M73,0)</f>
        <v>0</v>
      </c>
      <c r="O73" s="425">
        <f t="shared" ref="O73" si="269">+IF(D73=0.333,E73*F73*G73*M73,0)</f>
        <v>0</v>
      </c>
      <c r="P73" s="424">
        <v>0</v>
      </c>
      <c r="Q73" s="425">
        <f t="shared" ref="Q73" si="270">+IF(D73=0.667,E73*F73*G73*H73*P73,0)</f>
        <v>0</v>
      </c>
      <c r="R73" s="425">
        <f t="shared" ref="R73" si="271">+IF(D73=0.333,E73*F73*G73*P73,0)</f>
        <v>0</v>
      </c>
      <c r="S73" s="426">
        <f>+Q73+N73+K73</f>
        <v>39.85125567</v>
      </c>
      <c r="T73" s="426">
        <f t="shared" ref="T73" si="272">+R73+O73+L73</f>
        <v>0</v>
      </c>
      <c r="U73" s="102"/>
      <c r="V73" s="95"/>
      <c r="W73" s="102"/>
      <c r="X73" s="98"/>
      <c r="Y73" s="102"/>
      <c r="Z73" s="98"/>
      <c r="AA73" s="98"/>
      <c r="AB73" s="102">
        <f t="shared" ref="AB73" si="273">2*F73*W73*X73</f>
        <v>0</v>
      </c>
      <c r="AC73" s="95"/>
      <c r="AD73" s="459"/>
      <c r="AE73" s="459">
        <f t="shared" ref="AE73" si="274">+IF(D73=0.667,AD73*W73*H73*F73,0)</f>
        <v>0</v>
      </c>
      <c r="AF73" s="98"/>
      <c r="AG73" s="102">
        <v>1</v>
      </c>
      <c r="AH73" s="102">
        <f>+AG73*F73*G73*0.17</f>
        <v>3.3856638999999999</v>
      </c>
      <c r="AJ73" s="301">
        <f t="shared" si="263"/>
        <v>19.915669999999999</v>
      </c>
      <c r="AK73" s="301"/>
      <c r="AL73" s="301"/>
      <c r="AM73" s="301"/>
      <c r="AN73" s="299"/>
      <c r="AO73" s="301">
        <f>+S73</f>
        <v>39.85125567</v>
      </c>
      <c r="AP73" s="301"/>
    </row>
    <row r="74" spans="2:42" ht="19.95" customHeight="1" x14ac:dyDescent="0.3">
      <c r="B74" s="369"/>
      <c r="C74" s="370"/>
      <c r="D74" s="371"/>
      <c r="E74" s="369"/>
      <c r="F74" s="369"/>
      <c r="G74" s="371"/>
      <c r="H74" s="371"/>
      <c r="I74" s="372"/>
      <c r="J74" s="424"/>
      <c r="K74" s="398"/>
      <c r="L74" s="398"/>
      <c r="M74" s="397"/>
      <c r="N74" s="398"/>
      <c r="O74" s="398"/>
      <c r="P74" s="397"/>
      <c r="Q74" s="398"/>
      <c r="R74" s="398"/>
      <c r="S74" s="399"/>
      <c r="T74" s="399"/>
      <c r="U74" s="374"/>
      <c r="V74" s="370"/>
      <c r="W74" s="374"/>
      <c r="X74" s="371"/>
      <c r="Y74" s="374"/>
      <c r="Z74" s="371"/>
      <c r="AA74" s="371"/>
      <c r="AB74" s="374"/>
      <c r="AC74" s="370"/>
      <c r="AD74" s="377"/>
      <c r="AE74" s="377"/>
      <c r="AF74" s="371"/>
      <c r="AG74" s="374"/>
      <c r="AH74" s="374"/>
      <c r="AJ74" s="378"/>
      <c r="AK74" s="378"/>
      <c r="AL74" s="378"/>
      <c r="AM74" s="378"/>
      <c r="AN74" s="374"/>
      <c r="AO74" s="378"/>
      <c r="AP74" s="378"/>
    </row>
    <row r="75" spans="2:42" ht="19.95" customHeight="1" x14ac:dyDescent="0.3">
      <c r="B75" s="369"/>
      <c r="C75" s="370"/>
      <c r="D75" s="371"/>
      <c r="E75" s="369"/>
      <c r="F75" s="369"/>
      <c r="G75" s="371"/>
      <c r="H75" s="371"/>
      <c r="I75" s="372"/>
      <c r="J75" s="424"/>
      <c r="K75" s="398"/>
      <c r="L75" s="398"/>
      <c r="M75" s="397"/>
      <c r="N75" s="398"/>
      <c r="O75" s="398"/>
      <c r="P75" s="397"/>
      <c r="Q75" s="398"/>
      <c r="R75" s="398"/>
      <c r="S75" s="399"/>
      <c r="T75" s="399"/>
      <c r="U75" s="374"/>
      <c r="V75" s="370"/>
      <c r="W75" s="374"/>
      <c r="X75" s="371"/>
      <c r="Y75" s="374"/>
      <c r="Z75" s="371"/>
      <c r="AA75" s="371"/>
      <c r="AB75" s="374"/>
      <c r="AC75" s="370"/>
      <c r="AD75" s="377"/>
      <c r="AE75" s="377"/>
      <c r="AF75" s="371"/>
      <c r="AG75" s="374"/>
      <c r="AH75" s="374"/>
      <c r="AJ75" s="378"/>
      <c r="AK75" s="378"/>
      <c r="AL75" s="378"/>
      <c r="AM75" s="378"/>
      <c r="AN75" s="374"/>
      <c r="AO75" s="378"/>
      <c r="AP75" s="378"/>
    </row>
    <row r="76" spans="2:42" ht="19.95" customHeight="1" x14ac:dyDescent="0.3">
      <c r="B76" s="369"/>
      <c r="C76" s="370"/>
      <c r="D76" s="371"/>
      <c r="E76" s="369"/>
      <c r="F76" s="369"/>
      <c r="G76" s="371"/>
      <c r="H76" s="371"/>
      <c r="I76" s="372"/>
      <c r="J76" s="424"/>
      <c r="K76" s="398"/>
      <c r="L76" s="398"/>
      <c r="M76" s="397"/>
      <c r="N76" s="398"/>
      <c r="O76" s="398"/>
      <c r="P76" s="397"/>
      <c r="Q76" s="398"/>
      <c r="R76" s="398"/>
      <c r="S76" s="399"/>
      <c r="T76" s="399"/>
      <c r="U76" s="374"/>
      <c r="V76" s="370"/>
      <c r="W76" s="374"/>
      <c r="X76" s="371"/>
      <c r="Y76" s="374"/>
      <c r="Z76" s="371"/>
      <c r="AA76" s="371"/>
      <c r="AB76" s="374"/>
      <c r="AC76" s="370"/>
      <c r="AD76" s="377"/>
      <c r="AE76" s="377"/>
      <c r="AF76" s="371"/>
      <c r="AG76" s="374"/>
      <c r="AH76" s="374"/>
      <c r="AJ76" s="378"/>
      <c r="AK76" s="378"/>
      <c r="AL76" s="378"/>
      <c r="AM76" s="378"/>
      <c r="AN76" s="374"/>
      <c r="AO76" s="378"/>
      <c r="AP76" s="378"/>
    </row>
    <row r="77" spans="2:42" ht="19.95" customHeight="1" x14ac:dyDescent="0.3">
      <c r="B77" s="92"/>
      <c r="C77" s="393"/>
      <c r="D77" s="102"/>
      <c r="E77" s="102"/>
      <c r="F77" s="102"/>
      <c r="G77" s="102"/>
      <c r="H77" s="102"/>
      <c r="I77" s="102"/>
      <c r="J77" s="424"/>
      <c r="K77" s="425"/>
      <c r="L77" s="425"/>
      <c r="M77" s="424"/>
      <c r="N77" s="425"/>
      <c r="O77" s="425"/>
      <c r="P77" s="424"/>
      <c r="Q77" s="425"/>
      <c r="R77" s="425"/>
      <c r="S77" s="426"/>
      <c r="T77" s="426"/>
      <c r="U77" s="102"/>
      <c r="V77" s="459"/>
      <c r="W77" s="102"/>
      <c r="X77" s="102"/>
      <c r="Y77" s="102"/>
      <c r="Z77" s="102"/>
      <c r="AA77" s="102"/>
      <c r="AB77" s="102"/>
      <c r="AC77" s="459"/>
      <c r="AD77" s="94"/>
      <c r="AE77" s="94"/>
      <c r="AF77" s="459"/>
      <c r="AG77" s="94"/>
      <c r="AH77" s="98"/>
      <c r="AJ77" s="301"/>
      <c r="AK77" s="301">
        <f>+IF(C104=0.333,D104*E104*F104,0)</f>
        <v>0</v>
      </c>
      <c r="AL77" s="301"/>
      <c r="AM77" s="301"/>
      <c r="AN77" s="299"/>
      <c r="AO77" s="301">
        <f>+R104</f>
        <v>0</v>
      </c>
      <c r="AP77" s="301"/>
    </row>
    <row r="78" spans="2:42" s="474" customFormat="1" ht="19.95" customHeight="1" x14ac:dyDescent="0.3">
      <c r="B78" s="467"/>
      <c r="C78" s="467" t="s">
        <v>10</v>
      </c>
      <c r="D78" s="468"/>
      <c r="E78" s="468"/>
      <c r="F78" s="468"/>
      <c r="G78" s="468"/>
      <c r="H78" s="468"/>
      <c r="I78" s="468"/>
      <c r="J78" s="469"/>
      <c r="K78" s="470">
        <f>SUM(K6:K77)</f>
        <v>3922.2407596429994</v>
      </c>
      <c r="L78" s="470">
        <f>SUM(L6:L77)</f>
        <v>490.92946800000004</v>
      </c>
      <c r="M78" s="470"/>
      <c r="N78" s="470">
        <f>SUM(N6:N77)</f>
        <v>736.67949166799997</v>
      </c>
      <c r="O78" s="470">
        <f>SUM(O6:O77)</f>
        <v>0</v>
      </c>
      <c r="P78" s="470"/>
      <c r="Q78" s="470">
        <f>SUM(Q6:Q77)</f>
        <v>229.52103544413902</v>
      </c>
      <c r="R78" s="470">
        <f>SUM(R6:R77)</f>
        <v>0</v>
      </c>
      <c r="S78" s="470">
        <f>SUM(S6:S77)</f>
        <v>4888.44128675514</v>
      </c>
      <c r="T78" s="470">
        <f>SUM(T6:T77)</f>
        <v>490.92946800000004</v>
      </c>
      <c r="U78" s="468"/>
      <c r="V78" s="471"/>
      <c r="W78" s="472"/>
      <c r="X78" s="472"/>
      <c r="Y78" s="473">
        <f>SUM(Y6:Y77)</f>
        <v>8.9224589999999999</v>
      </c>
      <c r="Z78" s="473">
        <f>SUM(Z6:Z77)</f>
        <v>0</v>
      </c>
      <c r="AA78" s="473">
        <f>SUM(AA6:AA77)</f>
        <v>17.844918</v>
      </c>
      <c r="AB78" s="473">
        <f>SUM(AB6:AB77)</f>
        <v>26.753999999999998</v>
      </c>
      <c r="AC78" s="471"/>
      <c r="AD78" s="473"/>
      <c r="AE78" s="473">
        <f>SUM(AE6:AE77)</f>
        <v>2.9801013060000003</v>
      </c>
      <c r="AF78" s="471"/>
      <c r="AG78" s="473">
        <f>SUM(AG6:AG77)</f>
        <v>24</v>
      </c>
      <c r="AH78" s="473">
        <f>SUM(AH6:AH77)</f>
        <v>61.376453029999993</v>
      </c>
      <c r="AJ78" s="302">
        <f t="shared" ref="AJ78:AP78" si="275">SUM(AJ6:AJ77)</f>
        <v>450.17073699999997</v>
      </c>
      <c r="AK78" s="302">
        <f t="shared" si="275"/>
        <v>122.73236700000001</v>
      </c>
      <c r="AL78" s="302">
        <f t="shared" si="275"/>
        <v>2973.5033019800007</v>
      </c>
      <c r="AM78" s="302">
        <f t="shared" si="275"/>
        <v>0</v>
      </c>
      <c r="AN78" s="302">
        <f t="shared" si="275"/>
        <v>0</v>
      </c>
      <c r="AO78" s="302">
        <f t="shared" si="275"/>
        <v>334.95478189410005</v>
      </c>
      <c r="AP78" s="302">
        <f t="shared" si="275"/>
        <v>0</v>
      </c>
    </row>
    <row r="79" spans="2:42" ht="19.95" customHeight="1" x14ac:dyDescent="0.3">
      <c r="B79" s="92"/>
      <c r="C79" s="95"/>
      <c r="D79" s="102"/>
      <c r="E79" s="102"/>
      <c r="F79" s="102"/>
      <c r="G79" s="102"/>
      <c r="H79" s="102"/>
      <c r="I79" s="102"/>
      <c r="J79" s="102"/>
      <c r="K79" s="102"/>
      <c r="L79" s="102"/>
      <c r="M79" s="102"/>
      <c r="N79" s="102"/>
      <c r="O79" s="102"/>
      <c r="P79" s="102"/>
      <c r="Q79" s="102"/>
      <c r="R79" s="102"/>
      <c r="S79" s="102"/>
      <c r="T79" s="102">
        <f t="shared" ref="S79:T85" si="276">+R79+O79+L79</f>
        <v>0</v>
      </c>
      <c r="U79" s="102"/>
      <c r="V79" s="459"/>
      <c r="W79" s="454"/>
      <c r="X79" s="454"/>
      <c r="Y79" s="454"/>
      <c r="Z79" s="454"/>
      <c r="AA79" s="454"/>
      <c r="AB79" s="454"/>
      <c r="AC79" s="459"/>
      <c r="AD79" s="459"/>
      <c r="AE79" s="459"/>
      <c r="AF79" s="459"/>
      <c r="AG79" s="459"/>
      <c r="AH79" s="459"/>
      <c r="AJ79" s="379">
        <f>+AJ78*0.667*0.667</f>
        <v>200.276009013193</v>
      </c>
      <c r="AK79" s="379"/>
      <c r="AL79" s="379">
        <f>+AL78</f>
        <v>2973.5033019800007</v>
      </c>
      <c r="AM79" s="379"/>
      <c r="AN79" s="297"/>
      <c r="AO79" s="379">
        <f>+AO78</f>
        <v>334.95478189410005</v>
      </c>
      <c r="AP79" s="379"/>
    </row>
    <row r="80" spans="2:42" ht="19.95" customHeight="1" x14ac:dyDescent="0.3">
      <c r="AJ80" s="380"/>
      <c r="AK80" s="380">
        <f>+AK78*0.667</f>
        <v>81.862488789000011</v>
      </c>
      <c r="AL80" s="380"/>
      <c r="AM80" s="380">
        <f>+AM78</f>
        <v>0</v>
      </c>
      <c r="AN80" s="381">
        <f>+AN78</f>
        <v>0</v>
      </c>
      <c r="AO80" s="380"/>
      <c r="AP80" s="380">
        <f>1.33*(7-0.667)*AP78</f>
        <v>0</v>
      </c>
    </row>
    <row r="81" spans="2:42" ht="19.95" customHeight="1" x14ac:dyDescent="0.3">
      <c r="AJ81" s="382"/>
      <c r="AK81" s="382"/>
      <c r="AL81" s="382"/>
      <c r="AM81" s="382"/>
      <c r="AN81" s="383"/>
      <c r="AO81" s="382"/>
      <c r="AP81" s="382"/>
    </row>
    <row r="82" spans="2:42" s="90" customFormat="1" ht="19.95" customHeight="1" x14ac:dyDescent="0.3">
      <c r="B82" s="258"/>
      <c r="D82" s="386"/>
      <c r="E82" s="386"/>
      <c r="F82" s="386"/>
      <c r="G82" s="386"/>
      <c r="H82" s="386"/>
      <c r="I82" s="386"/>
      <c r="J82" s="386"/>
      <c r="K82" s="796" t="s">
        <v>25</v>
      </c>
      <c r="L82" s="797"/>
      <c r="M82" s="386"/>
      <c r="N82" s="796" t="s">
        <v>45</v>
      </c>
      <c r="O82" s="797"/>
      <c r="P82" s="386"/>
      <c r="Q82" s="796" t="s">
        <v>27</v>
      </c>
      <c r="R82" s="797"/>
      <c r="S82" s="796" t="s">
        <v>10</v>
      </c>
      <c r="T82" s="797"/>
      <c r="U82" s="386"/>
      <c r="V82" s="384"/>
      <c r="W82" s="770" t="s">
        <v>12</v>
      </c>
      <c r="X82" s="770"/>
      <c r="Y82" s="770"/>
      <c r="Z82" s="770"/>
      <c r="AA82" s="770" t="s">
        <v>13</v>
      </c>
      <c r="AB82" s="770"/>
      <c r="AC82" s="46"/>
      <c r="AD82" s="770" t="s">
        <v>14</v>
      </c>
      <c r="AE82" s="770"/>
      <c r="AF82" s="770"/>
      <c r="AG82" s="770" t="s">
        <v>15</v>
      </c>
      <c r="AH82" s="770"/>
      <c r="AN82" s="386"/>
    </row>
    <row r="83" spans="2:42" s="90" customFormat="1" ht="45" customHeight="1" x14ac:dyDescent="0.3">
      <c r="B83" s="475" t="s">
        <v>46</v>
      </c>
      <c r="C83" s="475" t="s">
        <v>28</v>
      </c>
      <c r="D83" s="476" t="s">
        <v>2</v>
      </c>
      <c r="E83" s="798" t="s">
        <v>3</v>
      </c>
      <c r="F83" s="798"/>
      <c r="G83" s="476"/>
      <c r="H83" s="476"/>
      <c r="I83" s="476"/>
      <c r="J83" s="476"/>
      <c r="K83" s="476" t="s">
        <v>19</v>
      </c>
      <c r="L83" s="476" t="s">
        <v>20</v>
      </c>
      <c r="M83" s="476"/>
      <c r="N83" s="476" t="s">
        <v>19</v>
      </c>
      <c r="O83" s="476" t="s">
        <v>20</v>
      </c>
      <c r="P83" s="476"/>
      <c r="Q83" s="476" t="s">
        <v>19</v>
      </c>
      <c r="R83" s="476" t="s">
        <v>20</v>
      </c>
      <c r="S83" s="476" t="s">
        <v>19</v>
      </c>
      <c r="T83" s="476" t="s">
        <v>20</v>
      </c>
      <c r="U83" s="476" t="s">
        <v>11</v>
      </c>
      <c r="V83" s="384"/>
      <c r="W83" s="312" t="s">
        <v>4</v>
      </c>
      <c r="X83" s="312" t="s">
        <v>16</v>
      </c>
      <c r="Y83" s="312" t="s">
        <v>19</v>
      </c>
      <c r="Z83" s="312" t="s">
        <v>20</v>
      </c>
      <c r="AA83" s="312" t="s">
        <v>21</v>
      </c>
      <c r="AB83" s="312" t="s">
        <v>22</v>
      </c>
      <c r="AC83" s="46"/>
      <c r="AD83" s="312" t="s">
        <v>16</v>
      </c>
      <c r="AE83" s="312" t="s">
        <v>19</v>
      </c>
      <c r="AF83" s="312" t="s">
        <v>20</v>
      </c>
      <c r="AG83" s="312" t="s">
        <v>3</v>
      </c>
      <c r="AH83" s="312" t="s">
        <v>23</v>
      </c>
      <c r="AJ83" s="777" t="s">
        <v>313</v>
      </c>
      <c r="AK83" s="777"/>
      <c r="AL83" s="86"/>
      <c r="AM83" s="86"/>
      <c r="AN83" s="106"/>
      <c r="AO83" s="86"/>
      <c r="AP83" s="86"/>
    </row>
    <row r="84" spans="2:42" ht="19.95" customHeight="1" x14ac:dyDescent="0.3">
      <c r="B84" s="92">
        <v>1</v>
      </c>
      <c r="C84" s="95" t="s">
        <v>47</v>
      </c>
      <c r="D84" s="102" t="s">
        <v>29</v>
      </c>
      <c r="E84" s="456">
        <v>1</v>
      </c>
      <c r="F84" s="456">
        <v>1</v>
      </c>
      <c r="G84" s="102"/>
      <c r="H84" s="102"/>
      <c r="I84" s="102"/>
      <c r="J84" s="102"/>
      <c r="K84" s="102">
        <f>+K78</f>
        <v>3922.2407596429994</v>
      </c>
      <c r="L84" s="102"/>
      <c r="M84" s="102"/>
      <c r="N84" s="102">
        <f>+N78</f>
        <v>736.67949166799997</v>
      </c>
      <c r="O84" s="102"/>
      <c r="P84" s="102"/>
      <c r="Q84" s="102">
        <f>+Q78</f>
        <v>229.52103544413902</v>
      </c>
      <c r="R84" s="102"/>
      <c r="S84" s="102">
        <f t="shared" si="276"/>
        <v>4888.4412867551382</v>
      </c>
      <c r="T84" s="102">
        <f t="shared" si="276"/>
        <v>0</v>
      </c>
      <c r="U84" s="477"/>
      <c r="W84" s="48"/>
      <c r="X84" s="48"/>
      <c r="Y84" s="55">
        <f>+Y78</f>
        <v>8.9224589999999999</v>
      </c>
      <c r="Z84" s="55"/>
      <c r="AA84" s="55">
        <f>+AA78</f>
        <v>17.844918</v>
      </c>
      <c r="AB84" s="55"/>
      <c r="AC84" s="55">
        <f t="shared" ref="AC84:AF84" si="277">AC77</f>
        <v>0</v>
      </c>
      <c r="AD84" s="55"/>
      <c r="AE84" s="55">
        <f>+AE78</f>
        <v>2.9801013060000003</v>
      </c>
      <c r="AF84" s="55">
        <f t="shared" si="277"/>
        <v>0</v>
      </c>
      <c r="AG84" s="55"/>
      <c r="AH84" s="55">
        <f>+AH78</f>
        <v>61.376453029999993</v>
      </c>
      <c r="AJ84" s="355" t="s">
        <v>19</v>
      </c>
      <c r="AK84" s="355" t="s">
        <v>20</v>
      </c>
      <c r="AL84" s="49"/>
      <c r="AM84" s="49"/>
      <c r="AN84" s="383"/>
      <c r="AO84" s="49"/>
      <c r="AP84" s="49"/>
    </row>
    <row r="85" spans="2:42" ht="19.95" customHeight="1" x14ac:dyDescent="0.3">
      <c r="B85" s="92"/>
      <c r="C85" s="95" t="s">
        <v>47</v>
      </c>
      <c r="D85" s="102" t="s">
        <v>30</v>
      </c>
      <c r="E85" s="456">
        <v>1</v>
      </c>
      <c r="F85" s="456">
        <v>1</v>
      </c>
      <c r="G85" s="102"/>
      <c r="H85" s="102"/>
      <c r="I85" s="102"/>
      <c r="J85" s="102"/>
      <c r="K85" s="102"/>
      <c r="L85" s="102">
        <f>+L78</f>
        <v>490.92946800000004</v>
      </c>
      <c r="M85" s="102"/>
      <c r="N85" s="102">
        <f>+IF(D85=0.667,E85*F85*G85*H85*M85,0)</f>
        <v>0</v>
      </c>
      <c r="O85" s="102">
        <f>+O78*2</f>
        <v>0</v>
      </c>
      <c r="P85" s="102"/>
      <c r="Q85" s="102">
        <f>+IF(D85=0.667,E85*F85*G85*H85*P85,0)</f>
        <v>0</v>
      </c>
      <c r="R85" s="102">
        <f>+R78*2</f>
        <v>0</v>
      </c>
      <c r="S85" s="102">
        <f t="shared" si="276"/>
        <v>0</v>
      </c>
      <c r="T85" s="102">
        <f>+R85+O85+L85</f>
        <v>490.92946800000004</v>
      </c>
      <c r="U85" s="477"/>
      <c r="W85" s="48"/>
      <c r="X85" s="48"/>
      <c r="Y85" s="48"/>
      <c r="Z85" s="48">
        <f>+Z78</f>
        <v>0</v>
      </c>
      <c r="AA85" s="48"/>
      <c r="AB85" s="48">
        <f>+AB78</f>
        <v>26.753999999999998</v>
      </c>
      <c r="AC85" s="48">
        <f t="shared" ref="AC85:AF85" si="278">AC77</f>
        <v>0</v>
      </c>
      <c r="AD85" s="48"/>
      <c r="AE85" s="48"/>
      <c r="AF85" s="48">
        <f t="shared" si="278"/>
        <v>0</v>
      </c>
      <c r="AG85" s="48"/>
      <c r="AH85" s="48"/>
      <c r="AJ85" s="388">
        <f>+AJ79+AL79+AO79</f>
        <v>3508.7340928872936</v>
      </c>
      <c r="AK85" s="389"/>
    </row>
    <row r="86" spans="2:42" s="90" customFormat="1" ht="19.95" customHeight="1" x14ac:dyDescent="0.3">
      <c r="B86" s="455"/>
      <c r="C86" s="393" t="s">
        <v>10</v>
      </c>
      <c r="D86" s="478"/>
      <c r="E86" s="478"/>
      <c r="F86" s="478"/>
      <c r="G86" s="478"/>
      <c r="H86" s="478"/>
      <c r="I86" s="478"/>
      <c r="J86" s="478"/>
      <c r="K86" s="468">
        <f t="shared" ref="K86:T86" si="279">SUM(K84:K85)</f>
        <v>3922.2407596429994</v>
      </c>
      <c r="L86" s="468">
        <f t="shared" si="279"/>
        <v>490.92946800000004</v>
      </c>
      <c r="M86" s="468">
        <f t="shared" si="279"/>
        <v>0</v>
      </c>
      <c r="N86" s="468">
        <f>SUM(N84:N85)</f>
        <v>736.67949166799997</v>
      </c>
      <c r="O86" s="468">
        <f t="shared" si="279"/>
        <v>0</v>
      </c>
      <c r="P86" s="468">
        <f t="shared" si="279"/>
        <v>0</v>
      </c>
      <c r="Q86" s="468">
        <f t="shared" si="279"/>
        <v>229.52103544413902</v>
      </c>
      <c r="R86" s="468">
        <f t="shared" si="279"/>
        <v>0</v>
      </c>
      <c r="S86" s="468">
        <f t="shared" si="279"/>
        <v>4888.4412867551382</v>
      </c>
      <c r="T86" s="468">
        <f t="shared" si="279"/>
        <v>490.92946800000004</v>
      </c>
      <c r="U86" s="478"/>
      <c r="V86" s="384"/>
      <c r="W86" s="48"/>
      <c r="X86" s="48"/>
      <c r="Y86" s="48"/>
      <c r="Z86" s="48"/>
      <c r="AA86" s="48"/>
      <c r="AB86" s="48"/>
      <c r="AC86" s="48"/>
      <c r="AD86" s="48"/>
      <c r="AE86" s="48"/>
      <c r="AF86" s="48"/>
      <c r="AG86" s="48"/>
      <c r="AH86" s="48"/>
      <c r="AJ86" s="389"/>
      <c r="AK86" s="388">
        <f>+AK80+AM80+AN80</f>
        <v>81.862488789000011</v>
      </c>
      <c r="AL86" s="28"/>
      <c r="AM86" s="28"/>
      <c r="AN86" s="106"/>
      <c r="AO86" s="28"/>
      <c r="AP86" s="28"/>
    </row>
    <row r="87" spans="2:42" ht="19.95" customHeight="1" x14ac:dyDescent="0.3">
      <c r="B87" s="92"/>
      <c r="C87" s="95"/>
      <c r="D87" s="102"/>
      <c r="E87" s="102"/>
      <c r="F87" s="102"/>
      <c r="G87" s="102"/>
      <c r="H87" s="102"/>
      <c r="I87" s="102"/>
      <c r="J87" s="102"/>
      <c r="K87" s="102"/>
      <c r="L87" s="102"/>
      <c r="M87" s="102"/>
      <c r="N87" s="102"/>
      <c r="O87" s="102"/>
      <c r="P87" s="102"/>
      <c r="Q87" s="102"/>
      <c r="R87" s="102"/>
      <c r="S87" s="102"/>
      <c r="T87" s="102"/>
      <c r="U87" s="102"/>
      <c r="W87" s="48"/>
      <c r="X87" s="48"/>
      <c r="Y87" s="60">
        <f t="shared" ref="Y87:AH87" si="280">SUM(Y84:Y86)</f>
        <v>8.9224589999999999</v>
      </c>
      <c r="Z87" s="60">
        <f t="shared" si="280"/>
        <v>0</v>
      </c>
      <c r="AA87" s="60">
        <f t="shared" si="280"/>
        <v>17.844918</v>
      </c>
      <c r="AB87" s="60">
        <f t="shared" si="280"/>
        <v>26.753999999999998</v>
      </c>
      <c r="AC87" s="60">
        <f t="shared" si="280"/>
        <v>0</v>
      </c>
      <c r="AD87" s="60">
        <f t="shared" si="280"/>
        <v>0</v>
      </c>
      <c r="AE87" s="60">
        <f t="shared" si="280"/>
        <v>2.9801013060000003</v>
      </c>
      <c r="AF87" s="60">
        <f t="shared" si="280"/>
        <v>0</v>
      </c>
      <c r="AG87" s="60">
        <f>SUM(AG84:AG86)</f>
        <v>0</v>
      </c>
      <c r="AH87" s="60">
        <f t="shared" si="280"/>
        <v>61.376453029999993</v>
      </c>
      <c r="AJ87" s="297"/>
      <c r="AK87" s="297"/>
    </row>
    <row r="88" spans="2:42" ht="19.95" customHeight="1" x14ac:dyDescent="0.3">
      <c r="B88" s="92"/>
      <c r="C88" s="95"/>
      <c r="D88" s="102"/>
      <c r="E88" s="102"/>
      <c r="F88" s="102"/>
      <c r="G88" s="102"/>
      <c r="H88" s="102"/>
      <c r="I88" s="102"/>
      <c r="J88" s="102"/>
      <c r="K88" s="102"/>
      <c r="L88" s="102"/>
      <c r="M88" s="102"/>
      <c r="N88" s="102"/>
      <c r="O88" s="102"/>
      <c r="P88" s="102"/>
      <c r="Q88" s="102"/>
      <c r="R88" s="102"/>
      <c r="S88" s="102"/>
      <c r="T88" s="102"/>
      <c r="U88" s="102"/>
      <c r="W88" s="48"/>
      <c r="X88" s="48"/>
      <c r="Y88" s="48"/>
      <c r="Z88" s="48"/>
      <c r="AA88" s="48"/>
      <c r="AB88" s="48">
        <f>+AA87+AB87</f>
        <v>44.598917999999998</v>
      </c>
      <c r="AC88" s="48"/>
      <c r="AD88" s="48"/>
      <c r="AE88" s="48"/>
      <c r="AF88" s="48"/>
      <c r="AG88" s="48"/>
      <c r="AH88" s="48"/>
      <c r="AJ88" s="363">
        <f t="shared" ref="AJ88:AK88" si="281">SUM(AJ85:AJ87)</f>
        <v>3508.7340928872936</v>
      </c>
      <c r="AK88" s="363">
        <f t="shared" si="281"/>
        <v>81.862488789000011</v>
      </c>
      <c r="AL88" s="90"/>
      <c r="AM88" s="90"/>
      <c r="AN88" s="386"/>
      <c r="AO88" s="90"/>
      <c r="AP88" s="90"/>
    </row>
    <row r="89" spans="2:42" x14ac:dyDescent="0.3">
      <c r="AJ89" s="390" t="s">
        <v>65</v>
      </c>
      <c r="AK89" s="390" t="s">
        <v>103</v>
      </c>
    </row>
    <row r="92" spans="2:42" x14ac:dyDescent="0.3">
      <c r="S92" s="106">
        <f>+S78+T78</f>
        <v>5379.3707547551403</v>
      </c>
      <c r="AN92" s="106">
        <f>1.33+0.15</f>
        <v>1.48</v>
      </c>
    </row>
    <row r="93" spans="2:42" x14ac:dyDescent="0.3">
      <c r="S93" s="106">
        <f>+S86+T86</f>
        <v>5379.3707547551385</v>
      </c>
      <c r="AJ93" s="392">
        <f>164/100*AJ88</f>
        <v>5754.3239123351614</v>
      </c>
      <c r="AK93" s="392">
        <f>108/100*AK88</f>
        <v>88.411487892120022</v>
      </c>
      <c r="AN93" s="106">
        <f>0.67+0.15</f>
        <v>0.82000000000000006</v>
      </c>
    </row>
    <row r="94" spans="2:42" x14ac:dyDescent="0.3">
      <c r="AN94" s="106">
        <v>0.67</v>
      </c>
    </row>
    <row r="95" spans="2:42" x14ac:dyDescent="0.3">
      <c r="AJ95" s="28">
        <v>961</v>
      </c>
      <c r="AN95" s="106">
        <f>+AN92*AN93*AN94</f>
        <v>0.81311200000000006</v>
      </c>
      <c r="AO95" s="28">
        <f>+AJ88/AN95</f>
        <v>4315.1916253693134</v>
      </c>
    </row>
  </sheetData>
  <mergeCells count="29">
    <mergeCell ref="AJ3:AK3"/>
    <mergeCell ref="AL3:AM3"/>
    <mergeCell ref="AO3:AP3"/>
    <mergeCell ref="AJ83:AK83"/>
    <mergeCell ref="E83:F83"/>
    <mergeCell ref="W82:Z82"/>
    <mergeCell ref="AA82:AB82"/>
    <mergeCell ref="AD82:AF82"/>
    <mergeCell ref="AG82:AH82"/>
    <mergeCell ref="W3:Z3"/>
    <mergeCell ref="AA3:AB3"/>
    <mergeCell ref="AD3:AE3"/>
    <mergeCell ref="AG3:AH3"/>
    <mergeCell ref="K82:L82"/>
    <mergeCell ref="N82:O82"/>
    <mergeCell ref="Q82:R82"/>
    <mergeCell ref="S82:T82"/>
    <mergeCell ref="U3:U4"/>
    <mergeCell ref="I3:I4"/>
    <mergeCell ref="J3:L3"/>
    <mergeCell ref="M3:O3"/>
    <mergeCell ref="P3:R3"/>
    <mergeCell ref="S3:T3"/>
    <mergeCell ref="H3:H4"/>
    <mergeCell ref="B3:B4"/>
    <mergeCell ref="C3:C4"/>
    <mergeCell ref="D3:D4"/>
    <mergeCell ref="E3:F4"/>
    <mergeCell ref="G3:G4"/>
  </mergeCells>
  <printOptions horizontalCentered="1"/>
  <pageMargins left="0" right="0" top="0" bottom="0" header="0.3" footer="0.3"/>
  <pageSetup paperSize="9"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56"/>
  <sheetViews>
    <sheetView showGridLines="0" topLeftCell="A16" workbookViewId="0">
      <selection activeCell="I31" sqref="I31"/>
    </sheetView>
  </sheetViews>
  <sheetFormatPr defaultColWidth="9.109375" defaultRowHeight="14.4" x14ac:dyDescent="0.3"/>
  <cols>
    <col min="1" max="1" width="1.6640625" style="1" customWidth="1"/>
    <col min="2" max="2" width="3.6640625" style="1" customWidth="1"/>
    <col min="3" max="3" width="27" style="156" customWidth="1"/>
    <col min="4" max="4" width="5.44140625" style="1" customWidth="1"/>
    <col min="5" max="5" width="6.5546875" style="1" customWidth="1"/>
    <col min="6" max="6" width="7.5546875" style="1" customWidth="1"/>
    <col min="7" max="7" width="8" style="1" customWidth="1"/>
    <col min="8" max="8" width="8.44140625" style="1" customWidth="1"/>
    <col min="9" max="9" width="10" style="1" customWidth="1"/>
    <col min="10" max="10" width="10.33203125" style="1" customWidth="1"/>
    <col min="11" max="16384" width="9.109375" style="1"/>
  </cols>
  <sheetData>
    <row r="1" spans="2:11" ht="20.100000000000001" customHeight="1" x14ac:dyDescent="0.3">
      <c r="B1" s="799" t="s">
        <v>436</v>
      </c>
      <c r="C1" s="799"/>
      <c r="E1" s="138"/>
      <c r="F1" s="138"/>
      <c r="G1" s="3"/>
      <c r="H1" s="3"/>
      <c r="I1" s="3"/>
      <c r="J1" s="3"/>
    </row>
    <row r="2" spans="2:11" ht="27.75" customHeight="1" x14ac:dyDescent="0.3">
      <c r="B2" s="139" t="s">
        <v>0</v>
      </c>
      <c r="C2" s="140" t="s">
        <v>1</v>
      </c>
      <c r="D2" s="800" t="s">
        <v>3</v>
      </c>
      <c r="E2" s="801"/>
      <c r="F2" s="141" t="s">
        <v>4</v>
      </c>
      <c r="G2" s="142" t="s">
        <v>5</v>
      </c>
      <c r="H2" s="142" t="s">
        <v>16</v>
      </c>
      <c r="I2" s="143" t="s">
        <v>23</v>
      </c>
      <c r="J2" s="144" t="s">
        <v>11</v>
      </c>
    </row>
    <row r="3" spans="2:11" s="136" customFormat="1" ht="19.649999999999999" customHeight="1" x14ac:dyDescent="0.3">
      <c r="B3" s="135"/>
      <c r="C3" s="145"/>
      <c r="D3" s="146"/>
      <c r="E3" s="146"/>
      <c r="F3" s="146"/>
      <c r="G3" s="110"/>
      <c r="H3" s="110"/>
      <c r="I3" s="110"/>
      <c r="J3" s="147"/>
      <c r="K3" s="148"/>
    </row>
    <row r="4" spans="2:11" ht="19.649999999999999" customHeight="1" x14ac:dyDescent="0.3">
      <c r="B4" s="109">
        <v>1</v>
      </c>
      <c r="C4" s="145" t="s">
        <v>99</v>
      </c>
      <c r="D4" s="69"/>
      <c r="E4" s="69"/>
      <c r="F4" s="69"/>
      <c r="G4" s="74"/>
      <c r="H4" s="74"/>
      <c r="I4" s="74"/>
      <c r="J4" s="112"/>
    </row>
    <row r="5" spans="2:11" ht="19.649999999999999" customHeight="1" x14ac:dyDescent="0.3">
      <c r="B5" s="71"/>
      <c r="C5" s="149" t="s">
        <v>93</v>
      </c>
      <c r="D5" s="69">
        <v>1</v>
      </c>
      <c r="E5" s="69"/>
      <c r="F5" s="69">
        <v>0.33</v>
      </c>
      <c r="G5" s="74">
        <v>0.67</v>
      </c>
      <c r="H5" s="74">
        <v>0.5</v>
      </c>
      <c r="I5" s="73">
        <f t="shared" ref="I5:I9" si="0">F5*G5*H5*E5*D5*6</f>
        <v>0</v>
      </c>
      <c r="J5" s="112"/>
    </row>
    <row r="6" spans="2:11" ht="19.649999999999999" customHeight="1" x14ac:dyDescent="0.3">
      <c r="B6" s="71"/>
      <c r="C6" s="149" t="s">
        <v>94</v>
      </c>
      <c r="D6" s="69">
        <v>1</v>
      </c>
      <c r="E6" s="69">
        <f>+'Base Floor - BW'!E105</f>
        <v>3</v>
      </c>
      <c r="F6" s="69">
        <v>0.33</v>
      </c>
      <c r="G6" s="74">
        <v>0.67</v>
      </c>
      <c r="H6" s="74">
        <v>0.5</v>
      </c>
      <c r="I6" s="73">
        <f t="shared" si="0"/>
        <v>1.9899</v>
      </c>
      <c r="J6" s="112"/>
    </row>
    <row r="7" spans="2:11" ht="19.649999999999999" customHeight="1" x14ac:dyDescent="0.3">
      <c r="B7" s="71"/>
      <c r="C7" s="149" t="s">
        <v>386</v>
      </c>
      <c r="D7" s="69">
        <v>1</v>
      </c>
      <c r="E7" s="69"/>
      <c r="F7" s="69">
        <v>0.33</v>
      </c>
      <c r="G7" s="74">
        <v>0.33</v>
      </c>
      <c r="H7" s="74">
        <v>0.5</v>
      </c>
      <c r="I7" s="73">
        <f t="shared" si="0"/>
        <v>0</v>
      </c>
      <c r="J7" s="112"/>
    </row>
    <row r="8" spans="2:11" ht="19.649999999999999" customHeight="1" x14ac:dyDescent="0.3">
      <c r="B8" s="71"/>
      <c r="C8" s="149" t="s">
        <v>410</v>
      </c>
      <c r="D8" s="69">
        <v>1</v>
      </c>
      <c r="E8" s="69"/>
      <c r="F8" s="69">
        <v>0.33</v>
      </c>
      <c r="G8" s="74">
        <v>0.33</v>
      </c>
      <c r="H8" s="74">
        <v>0.5</v>
      </c>
      <c r="I8" s="73">
        <f t="shared" si="0"/>
        <v>0</v>
      </c>
      <c r="J8" s="112"/>
    </row>
    <row r="9" spans="2:11" ht="19.649999999999999" customHeight="1" x14ac:dyDescent="0.3">
      <c r="B9" s="71"/>
      <c r="C9" s="149" t="s">
        <v>259</v>
      </c>
      <c r="D9" s="69">
        <v>1</v>
      </c>
      <c r="E9" s="69">
        <f>3</f>
        <v>3</v>
      </c>
      <c r="F9" s="69">
        <v>0.33</v>
      </c>
      <c r="G9" s="74">
        <v>0.33</v>
      </c>
      <c r="H9" s="74">
        <v>0.5</v>
      </c>
      <c r="I9" s="73">
        <f t="shared" si="0"/>
        <v>0.98010000000000019</v>
      </c>
      <c r="J9" s="112"/>
    </row>
    <row r="10" spans="2:11" ht="19.649999999999999" customHeight="1" x14ac:dyDescent="0.3">
      <c r="B10" s="71"/>
      <c r="C10" s="145" t="s">
        <v>95</v>
      </c>
      <c r="D10" s="146"/>
      <c r="E10" s="146"/>
      <c r="F10" s="146"/>
      <c r="G10" s="110"/>
      <c r="H10" s="110"/>
      <c r="I10" s="110">
        <f>SUM(I5:I9)</f>
        <v>2.97</v>
      </c>
      <c r="J10" s="111"/>
    </row>
    <row r="11" spans="2:11" ht="19.649999999999999" customHeight="1" x14ac:dyDescent="0.3">
      <c r="B11" s="71"/>
      <c r="C11" s="145"/>
      <c r="D11" s="146"/>
      <c r="E11" s="146"/>
      <c r="F11" s="146"/>
      <c r="G11" s="110"/>
      <c r="H11" s="110"/>
      <c r="I11" s="110"/>
      <c r="J11" s="111"/>
    </row>
    <row r="12" spans="2:11" ht="19.649999999999999" customHeight="1" x14ac:dyDescent="0.3">
      <c r="B12" s="109">
        <v>2</v>
      </c>
      <c r="C12" s="145" t="s">
        <v>89</v>
      </c>
      <c r="D12" s="69"/>
      <c r="E12" s="69"/>
      <c r="F12" s="69"/>
      <c r="G12" s="74"/>
      <c r="H12" s="74"/>
      <c r="I12" s="74"/>
      <c r="J12" s="112"/>
    </row>
    <row r="13" spans="2:11" ht="19.649999999999999" customHeight="1" x14ac:dyDescent="0.3">
      <c r="B13" s="71"/>
      <c r="C13" s="149" t="s">
        <v>93</v>
      </c>
      <c r="D13" s="69">
        <v>1</v>
      </c>
      <c r="E13" s="69">
        <f>1+2+1</f>
        <v>4</v>
      </c>
      <c r="F13" s="69">
        <v>0.33</v>
      </c>
      <c r="G13" s="74">
        <v>0.67</v>
      </c>
      <c r="H13" s="74">
        <v>0.5</v>
      </c>
      <c r="I13" s="73">
        <f t="shared" ref="I13:I17" si="1">F13*G13*H13*E13*D13*6</f>
        <v>2.6532</v>
      </c>
      <c r="J13" s="112"/>
    </row>
    <row r="14" spans="2:11" ht="19.649999999999999" customHeight="1" x14ac:dyDescent="0.3">
      <c r="B14" s="71"/>
      <c r="C14" s="149" t="s">
        <v>94</v>
      </c>
      <c r="D14" s="69">
        <v>1</v>
      </c>
      <c r="E14" s="69">
        <f>2+2+2+2+1</f>
        <v>9</v>
      </c>
      <c r="F14" s="69">
        <v>0.33</v>
      </c>
      <c r="G14" s="74">
        <v>0.67</v>
      </c>
      <c r="H14" s="74">
        <v>0.5</v>
      </c>
      <c r="I14" s="73">
        <f t="shared" si="1"/>
        <v>5.9697000000000005</v>
      </c>
      <c r="J14" s="112"/>
    </row>
    <row r="15" spans="2:11" ht="19.649999999999999" customHeight="1" x14ac:dyDescent="0.3">
      <c r="B15" s="71"/>
      <c r="C15" s="149" t="s">
        <v>386</v>
      </c>
      <c r="D15" s="69">
        <v>1</v>
      </c>
      <c r="E15" s="69">
        <f>4+6+6+3</f>
        <v>19</v>
      </c>
      <c r="F15" s="69">
        <v>0.33</v>
      </c>
      <c r="G15" s="74">
        <v>0.33</v>
      </c>
      <c r="H15" s="74">
        <v>0.5</v>
      </c>
      <c r="I15" s="73">
        <f t="shared" si="1"/>
        <v>6.2073</v>
      </c>
      <c r="J15" s="112"/>
    </row>
    <row r="16" spans="2:11" ht="19.649999999999999" customHeight="1" x14ac:dyDescent="0.3">
      <c r="B16" s="71"/>
      <c r="C16" s="149" t="s">
        <v>410</v>
      </c>
      <c r="D16" s="69">
        <v>1</v>
      </c>
      <c r="E16" s="69">
        <f>2+2+2+2</f>
        <v>8</v>
      </c>
      <c r="F16" s="69">
        <v>0.33</v>
      </c>
      <c r="G16" s="74">
        <v>0.33</v>
      </c>
      <c r="H16" s="74">
        <v>0.5</v>
      </c>
      <c r="I16" s="73">
        <f t="shared" si="1"/>
        <v>2.6136000000000004</v>
      </c>
      <c r="J16" s="112"/>
    </row>
    <row r="17" spans="2:10" ht="19.649999999999999" customHeight="1" x14ac:dyDescent="0.3">
      <c r="B17" s="71"/>
      <c r="C17" s="149" t="s">
        <v>259</v>
      </c>
      <c r="D17" s="69">
        <v>1</v>
      </c>
      <c r="E17" s="69">
        <f>2*3</f>
        <v>6</v>
      </c>
      <c r="F17" s="69">
        <v>0.33</v>
      </c>
      <c r="G17" s="74">
        <v>0.33</v>
      </c>
      <c r="H17" s="74">
        <v>0.5</v>
      </c>
      <c r="I17" s="73">
        <f t="shared" si="1"/>
        <v>1.9602000000000004</v>
      </c>
      <c r="J17" s="112"/>
    </row>
    <row r="18" spans="2:10" ht="19.649999999999999" customHeight="1" x14ac:dyDescent="0.3">
      <c r="B18" s="71"/>
      <c r="C18" s="145" t="s">
        <v>95</v>
      </c>
      <c r="D18" s="146"/>
      <c r="E18" s="146">
        <f>SUM(E13:E17)</f>
        <v>46</v>
      </c>
      <c r="F18" s="146"/>
      <c r="G18" s="110"/>
      <c r="H18" s="110"/>
      <c r="I18" s="110">
        <f>SUM(I13:I17)</f>
        <v>19.404000000000003</v>
      </c>
      <c r="J18" s="111"/>
    </row>
    <row r="19" spans="2:10" ht="19.649999999999999" customHeight="1" x14ac:dyDescent="0.3">
      <c r="B19" s="71"/>
      <c r="C19" s="149"/>
      <c r="D19" s="69"/>
      <c r="E19" s="69"/>
      <c r="F19" s="69"/>
      <c r="G19" s="74"/>
      <c r="H19" s="74"/>
      <c r="I19" s="74"/>
      <c r="J19" s="112"/>
    </row>
    <row r="20" spans="2:10" x14ac:dyDescent="0.3">
      <c r="B20" s="109">
        <f>1+B12</f>
        <v>3</v>
      </c>
      <c r="C20" s="145" t="s">
        <v>411</v>
      </c>
      <c r="D20" s="69"/>
      <c r="E20" s="69"/>
      <c r="F20" s="69"/>
      <c r="G20" s="74"/>
      <c r="H20" s="74"/>
      <c r="I20" s="74"/>
      <c r="J20" s="112"/>
    </row>
    <row r="21" spans="2:10" ht="19.649999999999999" customHeight="1" x14ac:dyDescent="0.3">
      <c r="B21" s="71"/>
      <c r="C21" s="149" t="s">
        <v>93</v>
      </c>
      <c r="D21" s="69">
        <v>1</v>
      </c>
      <c r="E21" s="69">
        <f>1+1+4</f>
        <v>6</v>
      </c>
      <c r="F21" s="69">
        <v>0.33</v>
      </c>
      <c r="G21" s="74">
        <v>0.67</v>
      </c>
      <c r="H21" s="74">
        <v>0.5</v>
      </c>
      <c r="I21" s="73">
        <f t="shared" ref="I21:I25" si="2">F21*G21*H21*E21*D21*6</f>
        <v>3.9798</v>
      </c>
      <c r="J21" s="112"/>
    </row>
    <row r="22" spans="2:10" ht="19.649999999999999" customHeight="1" x14ac:dyDescent="0.3">
      <c r="B22" s="71"/>
      <c r="C22" s="149" t="s">
        <v>94</v>
      </c>
      <c r="D22" s="69">
        <v>1</v>
      </c>
      <c r="E22" s="69">
        <f>2+2+2+2</f>
        <v>8</v>
      </c>
      <c r="F22" s="69">
        <v>0.33</v>
      </c>
      <c r="G22" s="74">
        <v>0.67</v>
      </c>
      <c r="H22" s="74">
        <v>0.5</v>
      </c>
      <c r="I22" s="73">
        <f t="shared" si="2"/>
        <v>5.3064</v>
      </c>
      <c r="J22" s="112"/>
    </row>
    <row r="23" spans="2:10" ht="19.649999999999999" customHeight="1" x14ac:dyDescent="0.3">
      <c r="B23" s="71"/>
      <c r="C23" s="149" t="s">
        <v>386</v>
      </c>
      <c r="D23" s="69">
        <v>1</v>
      </c>
      <c r="E23" s="69">
        <f>3+6+6+4</f>
        <v>19</v>
      </c>
      <c r="F23" s="69">
        <v>0.33</v>
      </c>
      <c r="G23" s="74">
        <v>0.33</v>
      </c>
      <c r="H23" s="74">
        <v>0.5</v>
      </c>
      <c r="I23" s="73">
        <f t="shared" si="2"/>
        <v>6.2073</v>
      </c>
      <c r="J23" s="112"/>
    </row>
    <row r="24" spans="2:10" ht="19.649999999999999" customHeight="1" x14ac:dyDescent="0.3">
      <c r="B24" s="71"/>
      <c r="C24" s="149" t="s">
        <v>410</v>
      </c>
      <c r="D24" s="69">
        <v>1</v>
      </c>
      <c r="E24" s="69">
        <f>2+2+2+2</f>
        <v>8</v>
      </c>
      <c r="F24" s="69">
        <v>0.33</v>
      </c>
      <c r="G24" s="74">
        <v>0.33</v>
      </c>
      <c r="H24" s="74">
        <v>0.5</v>
      </c>
      <c r="I24" s="73">
        <f t="shared" si="2"/>
        <v>2.6136000000000004</v>
      </c>
      <c r="J24" s="112"/>
    </row>
    <row r="25" spans="2:10" ht="19.649999999999999" customHeight="1" x14ac:dyDescent="0.3">
      <c r="B25" s="71"/>
      <c r="C25" s="149" t="s">
        <v>259</v>
      </c>
      <c r="D25" s="69">
        <v>1</v>
      </c>
      <c r="E25" s="69">
        <f>2*3</f>
        <v>6</v>
      </c>
      <c r="F25" s="69">
        <v>0.33</v>
      </c>
      <c r="G25" s="74">
        <v>0.33</v>
      </c>
      <c r="H25" s="74">
        <v>0.5</v>
      </c>
      <c r="I25" s="73">
        <f t="shared" si="2"/>
        <v>1.9602000000000004</v>
      </c>
      <c r="J25" s="112"/>
    </row>
    <row r="26" spans="2:10" ht="19.649999999999999" customHeight="1" x14ac:dyDescent="0.3">
      <c r="B26" s="71"/>
      <c r="C26" s="145" t="s">
        <v>95</v>
      </c>
      <c r="D26" s="69"/>
      <c r="E26" s="69">
        <f>SUM(E21:E25)</f>
        <v>47</v>
      </c>
      <c r="F26" s="72"/>
      <c r="G26" s="110"/>
      <c r="H26" s="110"/>
      <c r="I26" s="110">
        <f>SUM(I21:I25)*3</f>
        <v>60.201900000000009</v>
      </c>
      <c r="J26" s="111"/>
    </row>
    <row r="27" spans="2:10" ht="19.649999999999999" customHeight="1" x14ac:dyDescent="0.3">
      <c r="B27" s="71"/>
      <c r="C27" s="145"/>
      <c r="D27" s="69"/>
      <c r="E27" s="69"/>
      <c r="F27" s="72"/>
      <c r="G27" s="110"/>
      <c r="H27" s="110"/>
      <c r="I27" s="110"/>
      <c r="J27" s="111"/>
    </row>
    <row r="28" spans="2:10" ht="19.649999999999999" customHeight="1" x14ac:dyDescent="0.3">
      <c r="B28" s="109">
        <v>4</v>
      </c>
      <c r="C28" s="145" t="s">
        <v>92</v>
      </c>
      <c r="D28" s="69"/>
      <c r="E28" s="69"/>
      <c r="F28" s="69"/>
      <c r="G28" s="74"/>
      <c r="H28" s="74"/>
      <c r="I28" s="74"/>
      <c r="J28" s="112"/>
    </row>
    <row r="29" spans="2:10" ht="19.649999999999999" customHeight="1" x14ac:dyDescent="0.3">
      <c r="B29" s="71"/>
      <c r="C29" s="149" t="s">
        <v>96</v>
      </c>
      <c r="D29" s="69">
        <v>1</v>
      </c>
      <c r="E29" s="69">
        <v>3</v>
      </c>
      <c r="F29" s="69">
        <v>0.33</v>
      </c>
      <c r="G29" s="74">
        <v>0.67</v>
      </c>
      <c r="H29" s="74">
        <v>0.5</v>
      </c>
      <c r="I29" s="73">
        <f>F29*G29*H29*E29*D29*6</f>
        <v>1.9899</v>
      </c>
      <c r="J29" s="112"/>
    </row>
    <row r="30" spans="2:10" ht="19.649999999999999" customHeight="1" x14ac:dyDescent="0.3">
      <c r="B30" s="71"/>
      <c r="C30" s="149" t="s">
        <v>97</v>
      </c>
      <c r="D30" s="69">
        <v>1</v>
      </c>
      <c r="E30" s="69">
        <v>0</v>
      </c>
      <c r="F30" s="69">
        <v>0.33</v>
      </c>
      <c r="G30" s="74">
        <v>0.67</v>
      </c>
      <c r="H30" s="74">
        <v>0.5</v>
      </c>
      <c r="I30" s="73">
        <f t="shared" ref="I30" si="3">F30*G30*H30*E30*D30*6</f>
        <v>0</v>
      </c>
      <c r="J30" s="112"/>
    </row>
    <row r="31" spans="2:10" ht="19.649999999999999" customHeight="1" x14ac:dyDescent="0.3">
      <c r="B31" s="71"/>
      <c r="C31" s="145" t="s">
        <v>95</v>
      </c>
      <c r="D31" s="69"/>
      <c r="E31" s="69"/>
      <c r="F31" s="72"/>
      <c r="G31" s="110"/>
      <c r="H31" s="110"/>
      <c r="I31" s="110">
        <f>SUM(I29:I30)</f>
        <v>1.9899</v>
      </c>
      <c r="J31" s="111"/>
    </row>
    <row r="32" spans="2:10" ht="19.649999999999999" customHeight="1" x14ac:dyDescent="0.3">
      <c r="B32" s="75"/>
      <c r="C32" s="150"/>
      <c r="D32" s="76"/>
      <c r="E32" s="76"/>
      <c r="F32" s="76"/>
      <c r="G32" s="77"/>
      <c r="H32" s="77"/>
      <c r="I32" s="77"/>
      <c r="J32" s="113"/>
    </row>
    <row r="34" spans="2:10" x14ac:dyDescent="0.3">
      <c r="B34" s="151"/>
      <c r="C34" s="152" t="s">
        <v>98</v>
      </c>
      <c r="D34" s="153"/>
      <c r="E34" s="153"/>
      <c r="F34" s="153"/>
      <c r="G34" s="153"/>
      <c r="H34" s="153"/>
      <c r="I34" s="154">
        <f>+I31+I26+I18+I10</f>
        <v>84.56580000000001</v>
      </c>
      <c r="J34" s="155"/>
    </row>
    <row r="51" ht="19.649999999999999" customHeight="1" x14ac:dyDescent="0.3"/>
    <row r="52" ht="19.649999999999999" customHeight="1" x14ac:dyDescent="0.3"/>
    <row r="53" ht="19.649999999999999" customHeight="1" x14ac:dyDescent="0.3"/>
    <row r="54" ht="19.649999999999999" customHeight="1" x14ac:dyDescent="0.3"/>
    <row r="55" ht="19.649999999999999" customHeight="1" x14ac:dyDescent="0.3"/>
    <row r="56" ht="19.649999999999999" customHeight="1" x14ac:dyDescent="0.3"/>
  </sheetData>
  <mergeCells count="2">
    <mergeCell ref="B1:C1"/>
    <mergeCell ref="D2:E2"/>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O29"/>
  <sheetViews>
    <sheetView showGridLines="0" showZeros="0" zoomScale="85" zoomScaleNormal="85" workbookViewId="0">
      <selection activeCell="J7" sqref="J7"/>
    </sheetView>
  </sheetViews>
  <sheetFormatPr defaultColWidth="9.109375" defaultRowHeight="14.4" x14ac:dyDescent="0.3"/>
  <cols>
    <col min="1" max="1" width="3.6640625" style="1" customWidth="1"/>
    <col min="2" max="2" width="6" style="1" customWidth="1"/>
    <col min="3" max="3" width="24.33203125" style="1" customWidth="1"/>
    <col min="4" max="4" width="7.109375" style="1" customWidth="1"/>
    <col min="5" max="5" width="13" style="1" customWidth="1"/>
    <col min="6" max="6" width="5" style="1" customWidth="1"/>
    <col min="7" max="7" width="9.109375" style="1"/>
    <col min="8" max="8" width="15" style="1" bestFit="1" customWidth="1"/>
    <col min="9" max="10" width="9.109375" style="1"/>
    <col min="11" max="11" width="7.33203125" style="1" customWidth="1"/>
    <col min="12" max="12" width="9.109375" style="1"/>
    <col min="13" max="13" width="15" style="1" bestFit="1" customWidth="1"/>
    <col min="14" max="15" width="9.109375" style="1"/>
    <col min="16" max="16" width="21.88671875" style="1" bestFit="1" customWidth="1"/>
    <col min="17" max="16384" width="9.109375" style="1"/>
  </cols>
  <sheetData>
    <row r="1" spans="2:15" ht="18" x14ac:dyDescent="0.3">
      <c r="B1" s="802" t="s">
        <v>437</v>
      </c>
      <c r="C1" s="802"/>
      <c r="D1" s="802"/>
      <c r="E1" s="107"/>
      <c r="G1" s="802" t="s">
        <v>438</v>
      </c>
      <c r="H1" s="802"/>
      <c r="I1" s="802"/>
      <c r="J1" s="107"/>
      <c r="L1" s="802" t="s">
        <v>439</v>
      </c>
      <c r="M1" s="802"/>
      <c r="N1" s="802"/>
      <c r="O1" s="107"/>
    </row>
    <row r="2" spans="2:15" ht="30.75" customHeight="1" x14ac:dyDescent="0.3">
      <c r="B2" s="114" t="s">
        <v>46</v>
      </c>
      <c r="C2" s="114" t="s">
        <v>1</v>
      </c>
      <c r="D2" s="114" t="s">
        <v>50</v>
      </c>
      <c r="E2" s="114" t="s">
        <v>95</v>
      </c>
      <c r="G2" s="114" t="s">
        <v>46</v>
      </c>
      <c r="H2" s="114" t="s">
        <v>1</v>
      </c>
      <c r="I2" s="114" t="s">
        <v>50</v>
      </c>
      <c r="J2" s="114" t="s">
        <v>95</v>
      </c>
      <c r="L2" s="114" t="s">
        <v>46</v>
      </c>
      <c r="M2" s="114" t="s">
        <v>1</v>
      </c>
      <c r="N2" s="114" t="s">
        <v>50</v>
      </c>
      <c r="O2" s="114" t="s">
        <v>95</v>
      </c>
    </row>
    <row r="3" spans="2:15" ht="19.649999999999999" customHeight="1" x14ac:dyDescent="0.3">
      <c r="B3" s="108">
        <v>1</v>
      </c>
      <c r="C3" s="157" t="s">
        <v>99</v>
      </c>
      <c r="D3" s="65" t="s">
        <v>65</v>
      </c>
      <c r="E3" s="158">
        <f>'Base Floor - BW'!AI95</f>
        <v>48.749413697820017</v>
      </c>
      <c r="G3" s="108">
        <v>1</v>
      </c>
      <c r="H3" s="157" t="s">
        <v>99</v>
      </c>
      <c r="I3" s="65" t="s">
        <v>65</v>
      </c>
      <c r="J3" s="158">
        <f>'Base Floor - BW'!AF96</f>
        <v>0</v>
      </c>
      <c r="L3" s="108">
        <v>1</v>
      </c>
      <c r="M3" s="157" t="s">
        <v>99</v>
      </c>
      <c r="N3" s="65" t="s">
        <v>65</v>
      </c>
      <c r="O3" s="158">
        <f>'Base Floor - BW'!Z96</f>
        <v>0</v>
      </c>
    </row>
    <row r="4" spans="2:15" ht="19.649999999999999" customHeight="1" x14ac:dyDescent="0.3">
      <c r="B4" s="448"/>
      <c r="C4" s="451"/>
      <c r="D4" s="449"/>
      <c r="E4" s="452"/>
      <c r="G4" s="448"/>
      <c r="H4" s="451"/>
      <c r="I4" s="449"/>
      <c r="J4" s="452"/>
      <c r="L4" s="448"/>
      <c r="M4" s="451"/>
      <c r="N4" s="449"/>
      <c r="O4" s="452"/>
    </row>
    <row r="5" spans="2:15" ht="19.649999999999999" customHeight="1" x14ac:dyDescent="0.3">
      <c r="B5" s="108">
        <v>2</v>
      </c>
      <c r="C5" s="157" t="s">
        <v>89</v>
      </c>
      <c r="D5" s="65" t="s">
        <v>65</v>
      </c>
      <c r="E5" s="158">
        <f>+'Ground Floor - BW'!AI282</f>
        <v>193.91512808204004</v>
      </c>
      <c r="G5" s="108">
        <v>2</v>
      </c>
      <c r="H5" s="157" t="s">
        <v>89</v>
      </c>
      <c r="I5" s="65" t="s">
        <v>65</v>
      </c>
      <c r="J5" s="158">
        <f>+'Ground Floor - BW'!AF283</f>
        <v>0</v>
      </c>
      <c r="L5" s="108">
        <v>2</v>
      </c>
      <c r="M5" s="157" t="s">
        <v>89</v>
      </c>
      <c r="N5" s="65" t="s">
        <v>65</v>
      </c>
      <c r="O5" s="158">
        <f>+'Ground Floor - BW'!Z283</f>
        <v>159.95586966349998</v>
      </c>
    </row>
    <row r="6" spans="2:15" ht="19.649999999999999" customHeight="1" x14ac:dyDescent="0.3">
      <c r="B6" s="65"/>
      <c r="C6" s="159"/>
      <c r="D6" s="65"/>
      <c r="E6" s="65"/>
      <c r="G6" s="65"/>
      <c r="H6" s="159"/>
      <c r="I6" s="65"/>
      <c r="J6" s="65"/>
      <c r="L6" s="65"/>
      <c r="M6" s="159"/>
      <c r="N6" s="65"/>
      <c r="O6" s="65"/>
    </row>
    <row r="7" spans="2:15" ht="19.649999999999999" customHeight="1" x14ac:dyDescent="0.3">
      <c r="B7" s="108">
        <v>3</v>
      </c>
      <c r="C7" s="157" t="s">
        <v>90</v>
      </c>
      <c r="D7" s="65" t="s">
        <v>65</v>
      </c>
      <c r="E7" s="158">
        <f>+'1st Floor - BW '!AI285</f>
        <v>447.12971538766004</v>
      </c>
      <c r="G7" s="108">
        <v>3</v>
      </c>
      <c r="H7" s="157" t="s">
        <v>90</v>
      </c>
      <c r="I7" s="65" t="s">
        <v>65</v>
      </c>
      <c r="J7" s="158">
        <f>+'1st Floor - BW '!AE285</f>
        <v>33.938223298000004</v>
      </c>
      <c r="L7" s="108">
        <v>3</v>
      </c>
      <c r="M7" s="157" t="s">
        <v>90</v>
      </c>
      <c r="N7" s="65" t="s">
        <v>65</v>
      </c>
      <c r="O7" s="158">
        <f>+'1st Floor - BW '!Z286</f>
        <v>145.0383773115</v>
      </c>
    </row>
    <row r="8" spans="2:15" ht="19.649999999999999" customHeight="1" x14ac:dyDescent="0.3">
      <c r="B8" s="65"/>
      <c r="C8" s="159"/>
      <c r="D8" s="65"/>
      <c r="E8" s="65"/>
      <c r="G8" s="65"/>
      <c r="H8" s="159"/>
      <c r="I8" s="65"/>
      <c r="J8" s="65"/>
      <c r="L8" s="65"/>
      <c r="M8" s="159"/>
      <c r="N8" s="65"/>
      <c r="O8" s="65"/>
    </row>
    <row r="9" spans="2:15" ht="19.649999999999999" customHeight="1" x14ac:dyDescent="0.3">
      <c r="B9" s="108">
        <v>4</v>
      </c>
      <c r="C9" s="157" t="s">
        <v>100</v>
      </c>
      <c r="D9" s="65" t="s">
        <v>65</v>
      </c>
      <c r="E9" s="158">
        <f>+'Typical 2,3 - BW'!AI283</f>
        <v>440.07932577457018</v>
      </c>
      <c r="F9" s="137"/>
      <c r="G9" s="108">
        <v>4</v>
      </c>
      <c r="H9" s="157" t="s">
        <v>100</v>
      </c>
      <c r="I9" s="65" t="s">
        <v>65</v>
      </c>
      <c r="J9" s="158">
        <f>+'Typical 2,3 - BW'!AF284</f>
        <v>34.123908760999996</v>
      </c>
      <c r="L9" s="108">
        <v>4</v>
      </c>
      <c r="M9" s="157" t="s">
        <v>100</v>
      </c>
      <c r="N9" s="65" t="s">
        <v>65</v>
      </c>
      <c r="O9" s="158">
        <f>+'Typical 2,3 - BW'!Z284</f>
        <v>144.51578281149997</v>
      </c>
    </row>
    <row r="10" spans="2:15" ht="19.649999999999999" customHeight="1" x14ac:dyDescent="0.3">
      <c r="B10" s="65"/>
      <c r="C10" s="159"/>
      <c r="D10" s="65"/>
      <c r="E10" s="65"/>
      <c r="G10" s="65"/>
      <c r="H10" s="159"/>
      <c r="I10" s="65"/>
      <c r="J10" s="65"/>
      <c r="L10" s="65"/>
      <c r="M10" s="159"/>
      <c r="N10" s="65"/>
      <c r="O10" s="65"/>
    </row>
    <row r="11" spans="2:15" ht="19.649999999999999" customHeight="1" x14ac:dyDescent="0.3">
      <c r="B11" s="108">
        <v>5</v>
      </c>
      <c r="C11" s="157" t="s">
        <v>104</v>
      </c>
      <c r="D11" s="65" t="s">
        <v>65</v>
      </c>
      <c r="E11" s="158">
        <f>+E9</f>
        <v>440.07932577457018</v>
      </c>
      <c r="G11" s="108">
        <v>5</v>
      </c>
      <c r="H11" s="157" t="s">
        <v>104</v>
      </c>
      <c r="I11" s="65" t="s">
        <v>65</v>
      </c>
      <c r="J11" s="158">
        <f>+J9</f>
        <v>34.123908760999996</v>
      </c>
      <c r="L11" s="108">
        <v>5</v>
      </c>
      <c r="M11" s="157" t="s">
        <v>104</v>
      </c>
      <c r="N11" s="65" t="s">
        <v>65</v>
      </c>
      <c r="O11" s="158">
        <f>+O9</f>
        <v>144.51578281149997</v>
      </c>
    </row>
    <row r="12" spans="2:15" ht="19.649999999999999" customHeight="1" x14ac:dyDescent="0.3">
      <c r="B12" s="65"/>
      <c r="C12" s="159"/>
      <c r="D12" s="65"/>
      <c r="E12" s="65"/>
      <c r="G12" s="65"/>
      <c r="H12" s="159"/>
      <c r="I12" s="65"/>
      <c r="J12" s="65"/>
      <c r="L12" s="65"/>
      <c r="M12" s="159"/>
      <c r="N12" s="65"/>
      <c r="O12" s="65"/>
    </row>
    <row r="13" spans="2:15" ht="19.649999999999999" customHeight="1" x14ac:dyDescent="0.3">
      <c r="B13" s="108">
        <v>6</v>
      </c>
      <c r="C13" s="157" t="s">
        <v>101</v>
      </c>
      <c r="D13" s="65" t="s">
        <v>65</v>
      </c>
      <c r="E13" s="158"/>
      <c r="G13" s="108">
        <v>6</v>
      </c>
      <c r="H13" s="157" t="s">
        <v>101</v>
      </c>
      <c r="I13" s="65" t="s">
        <v>65</v>
      </c>
      <c r="J13" s="158"/>
      <c r="L13" s="108">
        <v>6</v>
      </c>
      <c r="M13" s="157" t="s">
        <v>101</v>
      </c>
      <c r="N13" s="65" t="s">
        <v>65</v>
      </c>
      <c r="O13" s="158"/>
    </row>
    <row r="14" spans="2:15" ht="19.649999999999999" customHeight="1" x14ac:dyDescent="0.3">
      <c r="B14" s="65"/>
      <c r="C14" s="159"/>
      <c r="D14" s="65"/>
      <c r="E14" s="65"/>
      <c r="G14" s="65"/>
      <c r="H14" s="159"/>
      <c r="I14" s="65"/>
      <c r="J14" s="65"/>
      <c r="L14" s="65"/>
      <c r="M14" s="159"/>
      <c r="N14" s="65"/>
      <c r="O14" s="65"/>
    </row>
    <row r="15" spans="2:15" ht="19.649999999999999" customHeight="1" x14ac:dyDescent="0.3">
      <c r="B15" s="108">
        <v>8</v>
      </c>
      <c r="C15" s="157" t="s">
        <v>102</v>
      </c>
      <c r="D15" s="65" t="s">
        <v>65</v>
      </c>
      <c r="E15" s="158"/>
      <c r="G15" s="108">
        <v>8</v>
      </c>
      <c r="H15" s="157" t="s">
        <v>102</v>
      </c>
      <c r="I15" s="65" t="s">
        <v>65</v>
      </c>
      <c r="J15" s="158"/>
      <c r="L15" s="108">
        <v>8</v>
      </c>
      <c r="M15" s="157" t="s">
        <v>102</v>
      </c>
      <c r="N15" s="65" t="s">
        <v>65</v>
      </c>
      <c r="O15" s="158"/>
    </row>
    <row r="16" spans="2:15" ht="19.649999999999999" customHeight="1" x14ac:dyDescent="0.3">
      <c r="B16" s="65"/>
      <c r="C16" s="159"/>
      <c r="D16" s="65"/>
      <c r="E16" s="65"/>
      <c r="G16" s="65"/>
      <c r="H16" s="159"/>
      <c r="I16" s="65"/>
      <c r="J16" s="65"/>
      <c r="L16" s="65"/>
      <c r="M16" s="159"/>
      <c r="N16" s="65"/>
      <c r="O16" s="65"/>
    </row>
    <row r="17" spans="2:15" ht="19.649999999999999" customHeight="1" x14ac:dyDescent="0.3">
      <c r="B17" s="108">
        <v>9</v>
      </c>
      <c r="C17" s="157" t="s">
        <v>105</v>
      </c>
      <c r="D17" s="65" t="s">
        <v>65</v>
      </c>
      <c r="E17" s="158"/>
      <c r="G17" s="108">
        <v>9</v>
      </c>
      <c r="H17" s="157" t="s">
        <v>105</v>
      </c>
      <c r="I17" s="65" t="s">
        <v>65</v>
      </c>
      <c r="J17" s="158"/>
      <c r="L17" s="108">
        <v>9</v>
      </c>
      <c r="M17" s="157" t="s">
        <v>105</v>
      </c>
      <c r="N17" s="65" t="s">
        <v>65</v>
      </c>
      <c r="O17" s="158"/>
    </row>
    <row r="18" spans="2:15" ht="19.649999999999999" customHeight="1" x14ac:dyDescent="0.3">
      <c r="B18" s="65"/>
      <c r="C18" s="159"/>
      <c r="D18" s="65"/>
      <c r="E18" s="65"/>
      <c r="G18" s="65"/>
      <c r="H18" s="159"/>
      <c r="I18" s="65"/>
      <c r="J18" s="65"/>
      <c r="L18" s="65"/>
      <c r="M18" s="159"/>
      <c r="N18" s="65"/>
      <c r="O18" s="65"/>
    </row>
    <row r="19" spans="2:15" ht="19.649999999999999" customHeight="1" x14ac:dyDescent="0.3">
      <c r="B19" s="65"/>
      <c r="C19" s="159"/>
      <c r="D19" s="65"/>
      <c r="E19" s="65"/>
      <c r="G19" s="65"/>
      <c r="H19" s="159"/>
      <c r="I19" s="65"/>
      <c r="J19" s="65"/>
      <c r="L19" s="65"/>
      <c r="M19" s="159"/>
      <c r="N19" s="65"/>
      <c r="O19" s="65"/>
    </row>
    <row r="20" spans="2:15" ht="19.649999999999999" customHeight="1" x14ac:dyDescent="0.3">
      <c r="B20" s="108">
        <v>14</v>
      </c>
      <c r="C20" s="157" t="s">
        <v>92</v>
      </c>
      <c r="D20" s="65" t="s">
        <v>65</v>
      </c>
      <c r="E20" s="158">
        <f>+'Terrace - BW'!AH87</f>
        <v>61.376453029999993</v>
      </c>
      <c r="G20" s="108">
        <v>14</v>
      </c>
      <c r="H20" s="157" t="s">
        <v>92</v>
      </c>
      <c r="I20" s="65" t="s">
        <v>65</v>
      </c>
      <c r="J20" s="158">
        <f>+'Terrace - BW'!AE87</f>
        <v>2.9801013060000003</v>
      </c>
      <c r="L20" s="108">
        <v>14</v>
      </c>
      <c r="M20" s="157" t="s">
        <v>92</v>
      </c>
      <c r="N20" s="65" t="s">
        <v>65</v>
      </c>
      <c r="O20" s="158">
        <f>+'Terrace - BW'!Y87</f>
        <v>8.9224589999999999</v>
      </c>
    </row>
    <row r="21" spans="2:15" ht="19.649999999999999" customHeight="1" x14ac:dyDescent="0.3">
      <c r="B21" s="65"/>
      <c r="C21" s="159"/>
      <c r="D21" s="65"/>
      <c r="E21" s="65"/>
      <c r="G21" s="65"/>
      <c r="H21" s="159"/>
      <c r="I21" s="65"/>
      <c r="J21" s="65"/>
      <c r="L21" s="65"/>
      <c r="M21" s="159"/>
      <c r="N21" s="65"/>
      <c r="O21" s="65"/>
    </row>
    <row r="22" spans="2:15" ht="19.649999999999999" customHeight="1" x14ac:dyDescent="0.3">
      <c r="B22" s="65"/>
      <c r="C22" s="159"/>
      <c r="D22" s="65"/>
      <c r="E22" s="65"/>
      <c r="G22" s="65"/>
      <c r="H22" s="159"/>
      <c r="I22" s="65"/>
      <c r="J22" s="65"/>
      <c r="L22" s="65"/>
      <c r="M22" s="159"/>
      <c r="N22" s="65"/>
      <c r="O22" s="65"/>
    </row>
    <row r="23" spans="2:15" s="136" customFormat="1" ht="19.649999999999999" customHeight="1" x14ac:dyDescent="0.3">
      <c r="B23" s="160"/>
      <c r="C23" s="161" t="s">
        <v>10</v>
      </c>
      <c r="D23" s="160"/>
      <c r="E23" s="162">
        <f>SUM(E3:E22)</f>
        <v>1631.3293617466604</v>
      </c>
      <c r="G23" s="160"/>
      <c r="H23" s="161" t="s">
        <v>10</v>
      </c>
      <c r="I23" s="160"/>
      <c r="J23" s="162">
        <f>SUM(J5:J22)</f>
        <v>105.16614212599998</v>
      </c>
      <c r="L23" s="160"/>
      <c r="M23" s="161" t="s">
        <v>10</v>
      </c>
      <c r="N23" s="160"/>
      <c r="O23" s="162">
        <f>SUM(O5:O22)</f>
        <v>602.94827159800002</v>
      </c>
    </row>
    <row r="24" spans="2:15" ht="19.649999999999999" customHeight="1" x14ac:dyDescent="0.3">
      <c r="B24" s="65"/>
      <c r="C24" s="159"/>
      <c r="D24" s="65"/>
      <c r="E24" s="65"/>
      <c r="G24" s="65"/>
      <c r="H24" s="159"/>
      <c r="I24" s="65"/>
      <c r="J24" s="65"/>
      <c r="L24" s="65"/>
      <c r="M24" s="159"/>
      <c r="N24" s="65"/>
      <c r="O24" s="65"/>
    </row>
    <row r="25" spans="2:15" x14ac:dyDescent="0.3">
      <c r="C25" s="156"/>
    </row>
    <row r="26" spans="2:15" x14ac:dyDescent="0.3">
      <c r="C26" s="156"/>
    </row>
    <row r="27" spans="2:15" x14ac:dyDescent="0.3">
      <c r="C27" s="156"/>
    </row>
    <row r="28" spans="2:15" x14ac:dyDescent="0.3">
      <c r="C28" s="156"/>
    </row>
    <row r="29" spans="2:15" x14ac:dyDescent="0.3">
      <c r="C29" s="156"/>
    </row>
  </sheetData>
  <mergeCells count="3">
    <mergeCell ref="B1:D1"/>
    <mergeCell ref="G1:I1"/>
    <mergeCell ref="L1:N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206"/>
  <sheetViews>
    <sheetView showGridLines="0" zoomScale="90" zoomScaleNormal="90" workbookViewId="0">
      <pane xSplit="6" ySplit="3" topLeftCell="G79" activePane="bottomRight" state="frozen"/>
      <selection activeCell="D19" sqref="D19"/>
      <selection pane="topRight" activeCell="D19" sqref="D19"/>
      <selection pane="bottomLeft" activeCell="D19" sqref="D19"/>
      <selection pane="bottomRight" activeCell="I94" sqref="I94"/>
    </sheetView>
  </sheetViews>
  <sheetFormatPr defaultColWidth="9.109375" defaultRowHeight="13.8" x14ac:dyDescent="0.3"/>
  <cols>
    <col min="1" max="1" width="0.88671875" style="86" customWidth="1"/>
    <col min="2" max="2" width="4.44140625" style="86" customWidth="1"/>
    <col min="3" max="3" width="18" style="86" bestFit="1" customWidth="1"/>
    <col min="4" max="4" width="5.44140625" style="86" customWidth="1"/>
    <col min="5" max="5" width="5.6640625" style="258" customWidth="1"/>
    <col min="6" max="6" width="3" style="258" bestFit="1" customWidth="1"/>
    <col min="7" max="7" width="8.5546875" style="106" customWidth="1"/>
    <col min="8" max="8" width="11.109375" style="106" customWidth="1"/>
    <col min="9" max="10" width="9.6640625" style="106" bestFit="1" customWidth="1"/>
    <col min="11" max="11" width="8.6640625" style="86" bestFit="1" customWidth="1"/>
    <col min="12" max="12" width="0.6640625" style="86" customWidth="1"/>
    <col min="13" max="13" width="15.33203125" style="106" bestFit="1" customWidth="1"/>
    <col min="14" max="14" width="7.33203125" style="106" bestFit="1" customWidth="1"/>
    <col min="15" max="16" width="7.33203125" style="106" customWidth="1"/>
    <col min="17" max="17" width="6.33203125" style="106" customWidth="1"/>
    <col min="18" max="18" width="6.6640625" style="106" bestFit="1" customWidth="1"/>
    <col min="19" max="19" width="7.33203125" style="106" bestFit="1" customWidth="1"/>
    <col min="20" max="20" width="5.33203125" style="106" customWidth="1"/>
    <col min="21" max="22" width="7.33203125" style="106" customWidth="1"/>
    <col min="23" max="24" width="6.33203125" style="106" customWidth="1"/>
    <col min="25" max="28" width="7.6640625" style="106" bestFit="1" customWidth="1"/>
    <col min="29" max="30" width="7.33203125" style="106" bestFit="1" customWidth="1"/>
    <col min="31" max="32" width="6.33203125" style="106" bestFit="1" customWidth="1"/>
    <col min="33" max="36" width="5.33203125" style="86" bestFit="1" customWidth="1"/>
    <col min="37" max="16384" width="9.109375" style="86"/>
  </cols>
  <sheetData>
    <row r="1" spans="2:38" x14ac:dyDescent="0.3">
      <c r="B1" s="807" t="s">
        <v>133</v>
      </c>
      <c r="C1" s="807"/>
      <c r="F1" s="227"/>
    </row>
    <row r="2" spans="2:38" ht="18" customHeight="1" x14ac:dyDescent="0.3">
      <c r="B2" s="808" t="s">
        <v>46</v>
      </c>
      <c r="C2" s="810" t="s">
        <v>1</v>
      </c>
      <c r="D2" s="810" t="s">
        <v>134</v>
      </c>
      <c r="E2" s="810" t="s">
        <v>3</v>
      </c>
      <c r="F2" s="810"/>
      <c r="G2" s="803" t="s">
        <v>135</v>
      </c>
      <c r="H2" s="803" t="s">
        <v>136</v>
      </c>
      <c r="I2" s="803" t="s">
        <v>136</v>
      </c>
      <c r="J2" s="803"/>
      <c r="K2" s="805" t="s">
        <v>11</v>
      </c>
    </row>
    <row r="3" spans="2:38" ht="26.25" customHeight="1" x14ac:dyDescent="0.3">
      <c r="B3" s="809"/>
      <c r="C3" s="811"/>
      <c r="D3" s="811"/>
      <c r="E3" s="811"/>
      <c r="F3" s="811"/>
      <c r="G3" s="804"/>
      <c r="H3" s="804"/>
      <c r="I3" s="228" t="s">
        <v>60</v>
      </c>
      <c r="J3" s="228" t="s">
        <v>61</v>
      </c>
      <c r="K3" s="806"/>
      <c r="M3" s="229" t="s">
        <v>1</v>
      </c>
      <c r="N3" s="229" t="s">
        <v>93</v>
      </c>
      <c r="O3" s="229" t="s">
        <v>94</v>
      </c>
      <c r="P3" s="229" t="s">
        <v>386</v>
      </c>
      <c r="Q3" s="229" t="s">
        <v>410</v>
      </c>
      <c r="R3" s="229" t="s">
        <v>412</v>
      </c>
      <c r="S3" s="229" t="s">
        <v>413</v>
      </c>
      <c r="T3" s="229" t="s">
        <v>122</v>
      </c>
      <c r="U3" s="229" t="s">
        <v>414</v>
      </c>
      <c r="V3" s="229" t="s">
        <v>139</v>
      </c>
      <c r="W3" s="229" t="s">
        <v>415</v>
      </c>
      <c r="X3" s="229" t="s">
        <v>416</v>
      </c>
      <c r="Y3" s="229" t="s">
        <v>265</v>
      </c>
      <c r="Z3" s="229" t="s">
        <v>261</v>
      </c>
      <c r="AA3" s="229" t="s">
        <v>262</v>
      </c>
      <c r="AB3" s="229" t="s">
        <v>263</v>
      </c>
      <c r="AC3" s="229" t="s">
        <v>137</v>
      </c>
      <c r="AD3" s="229" t="s">
        <v>264</v>
      </c>
      <c r="AE3" s="229" t="s">
        <v>138</v>
      </c>
      <c r="AF3" s="229" t="s">
        <v>260</v>
      </c>
      <c r="AG3" s="229" t="s">
        <v>265</v>
      </c>
      <c r="AH3" s="229" t="s">
        <v>140</v>
      </c>
      <c r="AI3" s="229" t="s">
        <v>259</v>
      </c>
      <c r="AJ3" s="229" t="s">
        <v>97</v>
      </c>
      <c r="AK3" s="230"/>
      <c r="AL3" s="86" t="s">
        <v>139</v>
      </c>
    </row>
    <row r="4" spans="2:38" s="28" customFormat="1" ht="19.649999999999999" customHeight="1" x14ac:dyDescent="0.3">
      <c r="B4" s="231"/>
      <c r="C4" s="232"/>
      <c r="D4" s="233"/>
      <c r="E4" s="233"/>
      <c r="F4" s="233"/>
      <c r="G4" s="234"/>
      <c r="H4" s="234"/>
      <c r="I4" s="234"/>
      <c r="J4" s="234"/>
      <c r="K4" s="235"/>
      <c r="M4" s="50" t="s">
        <v>141</v>
      </c>
      <c r="N4" s="236"/>
      <c r="O4" s="236"/>
      <c r="P4" s="236"/>
      <c r="Q4" s="236"/>
      <c r="R4" s="236"/>
      <c r="S4" s="236"/>
      <c r="T4" s="236"/>
      <c r="U4" s="236"/>
      <c r="V4" s="236"/>
      <c r="W4" s="224"/>
      <c r="X4" s="224"/>
      <c r="Y4" s="236"/>
      <c r="Z4" s="236"/>
      <c r="AA4" s="236"/>
      <c r="AB4" s="236"/>
      <c r="AC4" s="236"/>
      <c r="AD4" s="236"/>
      <c r="AE4" s="236"/>
      <c r="AF4" s="236"/>
      <c r="AG4" s="236"/>
      <c r="AH4" s="236"/>
      <c r="AI4" s="236"/>
      <c r="AJ4" s="236"/>
      <c r="AK4" s="237"/>
    </row>
    <row r="5" spans="2:38" s="28" customFormat="1" ht="30" customHeight="1" x14ac:dyDescent="0.3">
      <c r="B5" s="238"/>
      <c r="C5" s="239" t="s">
        <v>142</v>
      </c>
      <c r="D5" s="233"/>
      <c r="E5" s="233"/>
      <c r="F5" s="233"/>
      <c r="G5" s="234"/>
      <c r="H5" s="234"/>
      <c r="I5" s="234"/>
      <c r="J5" s="234"/>
      <c r="K5" s="235"/>
      <c r="M5" s="62"/>
      <c r="N5" s="236"/>
      <c r="O5" s="236">
        <v>3</v>
      </c>
      <c r="P5" s="236"/>
      <c r="Q5" s="236"/>
      <c r="R5" s="236"/>
      <c r="S5" s="236"/>
      <c r="T5" s="236"/>
      <c r="U5" s="236"/>
      <c r="V5" s="236"/>
      <c r="W5" s="236"/>
      <c r="X5" s="236"/>
      <c r="Y5" s="236"/>
      <c r="Z5" s="236"/>
      <c r="AA5" s="236"/>
      <c r="AB5" s="236"/>
      <c r="AC5" s="236"/>
      <c r="AD5" s="236"/>
      <c r="AE5" s="236"/>
      <c r="AF5" s="236"/>
      <c r="AG5" s="236"/>
      <c r="AH5" s="236"/>
      <c r="AI5" s="236"/>
      <c r="AJ5" s="236"/>
      <c r="AK5" s="237"/>
      <c r="AL5" s="28">
        <v>2</v>
      </c>
    </row>
    <row r="6" spans="2:38" s="28" customFormat="1" ht="19.649999999999999" customHeight="1" x14ac:dyDescent="0.3">
      <c r="B6" s="231">
        <v>1</v>
      </c>
      <c r="C6" s="240" t="s">
        <v>147</v>
      </c>
      <c r="D6" s="233">
        <v>10</v>
      </c>
      <c r="E6" s="233">
        <f>+N15</f>
        <v>25</v>
      </c>
      <c r="F6" s="233">
        <v>2</v>
      </c>
      <c r="G6" s="234">
        <f>3.25+0.67</f>
        <v>3.92</v>
      </c>
      <c r="H6" s="234">
        <f>+G6*F6*E6</f>
        <v>196</v>
      </c>
      <c r="I6" s="234">
        <f>+IF(D6=8,H6,0)</f>
        <v>0</v>
      </c>
      <c r="J6" s="234">
        <f>+IF(D6=10,H6,0)</f>
        <v>196</v>
      </c>
      <c r="K6" s="235"/>
      <c r="M6" s="50" t="s">
        <v>143</v>
      </c>
      <c r="N6" s="236"/>
      <c r="O6" s="236"/>
      <c r="P6" s="236"/>
      <c r="Q6" s="236"/>
      <c r="R6" s="236"/>
      <c r="S6" s="236"/>
      <c r="T6" s="236"/>
      <c r="U6" s="236"/>
      <c r="V6" s="236"/>
      <c r="W6" s="224"/>
      <c r="X6" s="224"/>
      <c r="Y6" s="236"/>
      <c r="Z6" s="236"/>
      <c r="AA6" s="236"/>
      <c r="AB6" s="236"/>
      <c r="AC6" s="236"/>
      <c r="AD6" s="236"/>
      <c r="AE6" s="236"/>
      <c r="AF6" s="236"/>
      <c r="AG6" s="236"/>
      <c r="AH6" s="236"/>
      <c r="AI6" s="236"/>
      <c r="AJ6" s="236"/>
      <c r="AK6" s="237"/>
    </row>
    <row r="7" spans="2:38" s="28" customFormat="1" ht="19.649999999999999" customHeight="1" x14ac:dyDescent="0.3">
      <c r="B7" s="231"/>
      <c r="C7" s="232" t="s">
        <v>144</v>
      </c>
      <c r="D7" s="233">
        <v>8</v>
      </c>
      <c r="E7" s="233">
        <f>+E6</f>
        <v>25</v>
      </c>
      <c r="F7" s="233">
        <v>2</v>
      </c>
      <c r="G7" s="234">
        <f>G6</f>
        <v>3.92</v>
      </c>
      <c r="H7" s="234">
        <f>+G7*F7*E7</f>
        <v>196</v>
      </c>
      <c r="I7" s="234">
        <f>+IF(D7=8,H7,0)</f>
        <v>196</v>
      </c>
      <c r="J7" s="234">
        <f>+IF(D7=10,H7,0)</f>
        <v>0</v>
      </c>
      <c r="K7" s="235"/>
      <c r="M7" s="62"/>
      <c r="N7" s="236">
        <f>1+2+1</f>
        <v>4</v>
      </c>
      <c r="O7" s="236">
        <f>2+2+2+2</f>
        <v>8</v>
      </c>
      <c r="P7" s="236">
        <f>4+6+6+4</f>
        <v>20</v>
      </c>
      <c r="Q7" s="236">
        <f>2+2+2+2</f>
        <v>8</v>
      </c>
      <c r="R7" s="236">
        <f>27+10+3</f>
        <v>40</v>
      </c>
      <c r="S7" s="236">
        <v>1</v>
      </c>
      <c r="T7" s="236">
        <v>1</v>
      </c>
      <c r="U7" s="236">
        <f>2+2+2+2</f>
        <v>8</v>
      </c>
      <c r="V7" s="236">
        <f>2+2+2+3</f>
        <v>9</v>
      </c>
      <c r="W7" s="236">
        <v>1</v>
      </c>
      <c r="X7" s="236">
        <f>1+2+7</f>
        <v>10</v>
      </c>
      <c r="Y7" s="236">
        <v>2</v>
      </c>
      <c r="Z7" s="236"/>
      <c r="AA7" s="236"/>
      <c r="AB7" s="236"/>
      <c r="AC7" s="236"/>
      <c r="AD7" s="236"/>
      <c r="AE7" s="236"/>
      <c r="AF7" s="236"/>
      <c r="AG7" s="236"/>
      <c r="AH7" s="236"/>
      <c r="AI7" s="236"/>
      <c r="AJ7" s="236"/>
      <c r="AK7" s="237"/>
    </row>
    <row r="8" spans="2:38" s="28" customFormat="1" ht="19.649999999999999" customHeight="1" x14ac:dyDescent="0.3">
      <c r="B8" s="231"/>
      <c r="C8" s="232" t="s">
        <v>145</v>
      </c>
      <c r="D8" s="233">
        <v>8</v>
      </c>
      <c r="E8" s="233">
        <f>+E7</f>
        <v>25</v>
      </c>
      <c r="F8" s="233">
        <f>+ROUND(G6/0.5,0)+1</f>
        <v>9</v>
      </c>
      <c r="G8" s="234">
        <f>(0.666+0.666+0.5+0.5+0.25)-8*0.083</f>
        <v>1.9179999999999997</v>
      </c>
      <c r="H8" s="234">
        <f>+G8*F8*E8</f>
        <v>431.5499999999999</v>
      </c>
      <c r="I8" s="234">
        <f>+IF(D8=8,H8,0)</f>
        <v>431.5499999999999</v>
      </c>
      <c r="J8" s="234">
        <f>+IF(D8=10,H8,0)</f>
        <v>0</v>
      </c>
      <c r="K8" s="235"/>
      <c r="M8" s="241" t="s">
        <v>146</v>
      </c>
      <c r="N8" s="225"/>
      <c r="O8" s="225"/>
      <c r="P8" s="225"/>
      <c r="Q8" s="225"/>
      <c r="R8" s="225"/>
      <c r="S8" s="225"/>
      <c r="T8" s="225"/>
      <c r="U8" s="236"/>
      <c r="V8" s="236"/>
      <c r="W8" s="236"/>
      <c r="X8" s="236"/>
      <c r="Y8" s="236"/>
      <c r="Z8" s="236"/>
      <c r="AA8" s="236"/>
      <c r="AB8" s="236"/>
      <c r="AC8" s="62"/>
      <c r="AD8" s="62"/>
      <c r="AE8" s="236"/>
      <c r="AF8" s="236"/>
      <c r="AG8" s="236"/>
      <c r="AH8" s="236"/>
      <c r="AI8" s="236"/>
      <c r="AJ8" s="236"/>
      <c r="AK8" s="237"/>
    </row>
    <row r="9" spans="2:38" s="28" customFormat="1" ht="19.649999999999999" customHeight="1" x14ac:dyDescent="0.3">
      <c r="B9" s="238"/>
      <c r="C9" s="232"/>
      <c r="D9" s="233"/>
      <c r="E9" s="233"/>
      <c r="F9" s="233"/>
      <c r="G9" s="242"/>
      <c r="H9" s="242"/>
      <c r="I9" s="242"/>
      <c r="J9" s="242"/>
      <c r="K9" s="235"/>
      <c r="M9" s="62"/>
      <c r="N9" s="236">
        <f>2+4+1</f>
        <v>7</v>
      </c>
      <c r="O9" s="236">
        <f>2+2+2+2</f>
        <v>8</v>
      </c>
      <c r="P9" s="236">
        <f>3+6+6+4</f>
        <v>19</v>
      </c>
      <c r="Q9" s="236">
        <f>2+2+2+2</f>
        <v>8</v>
      </c>
      <c r="R9" s="236">
        <f>27+11+3+6</f>
        <v>47</v>
      </c>
      <c r="S9" s="236">
        <v>1</v>
      </c>
      <c r="T9" s="236">
        <v>1</v>
      </c>
      <c r="U9" s="236">
        <f>2+2+2+2</f>
        <v>8</v>
      </c>
      <c r="V9" s="236">
        <f>2+2+2+3</f>
        <v>9</v>
      </c>
      <c r="W9" s="224"/>
      <c r="X9" s="224">
        <f>1+9</f>
        <v>10</v>
      </c>
      <c r="Y9" s="236"/>
      <c r="Z9" s="236"/>
      <c r="AA9" s="236"/>
      <c r="AB9" s="236"/>
      <c r="AC9" s="236"/>
      <c r="AD9" s="236"/>
      <c r="AE9" s="236"/>
      <c r="AF9" s="236"/>
      <c r="AG9" s="236"/>
      <c r="AH9" s="236"/>
      <c r="AI9" s="236"/>
      <c r="AJ9" s="236"/>
      <c r="AK9" s="237"/>
    </row>
    <row r="10" spans="2:38" s="28" customFormat="1" ht="19.649999999999999" customHeight="1" x14ac:dyDescent="0.3">
      <c r="B10" s="231">
        <v>2</v>
      </c>
      <c r="C10" s="240" t="s">
        <v>148</v>
      </c>
      <c r="D10" s="233">
        <v>10</v>
      </c>
      <c r="E10" s="233">
        <f>+$O$15</f>
        <v>35</v>
      </c>
      <c r="F10" s="233">
        <v>2</v>
      </c>
      <c r="G10" s="234">
        <f>4+0.67</f>
        <v>4.67</v>
      </c>
      <c r="H10" s="234">
        <f>+G10*F10*E10</f>
        <v>326.89999999999998</v>
      </c>
      <c r="I10" s="234">
        <f>+IF(D10=8,H10,0)</f>
        <v>0</v>
      </c>
      <c r="J10" s="234">
        <f>+IF(D10=10,H10,0)</f>
        <v>326.89999999999998</v>
      </c>
      <c r="K10" s="235"/>
      <c r="M10" s="241" t="s">
        <v>420</v>
      </c>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7"/>
    </row>
    <row r="11" spans="2:38" s="28" customFormat="1" ht="19.649999999999999" customHeight="1" x14ac:dyDescent="0.3">
      <c r="B11" s="231"/>
      <c r="C11" s="232" t="s">
        <v>144</v>
      </c>
      <c r="D11" s="233">
        <v>8</v>
      </c>
      <c r="E11" s="233">
        <f>+E10</f>
        <v>35</v>
      </c>
      <c r="F11" s="233">
        <v>2</v>
      </c>
      <c r="G11" s="234">
        <f>G10</f>
        <v>4.67</v>
      </c>
      <c r="H11" s="234">
        <f>+G11*F11*E11</f>
        <v>326.89999999999998</v>
      </c>
      <c r="I11" s="234">
        <f>+IF(D11=8,H11,0)</f>
        <v>326.89999999999998</v>
      </c>
      <c r="J11" s="234">
        <f>+IF(D11=10,H11,0)</f>
        <v>0</v>
      </c>
      <c r="K11" s="235"/>
      <c r="M11" s="62"/>
      <c r="N11" s="236">
        <f>+N9*2</f>
        <v>14</v>
      </c>
      <c r="O11" s="236">
        <f t="shared" ref="O11:AJ11" si="0">+O9*2</f>
        <v>16</v>
      </c>
      <c r="P11" s="236">
        <f t="shared" si="0"/>
        <v>38</v>
      </c>
      <c r="Q11" s="236">
        <f t="shared" si="0"/>
        <v>16</v>
      </c>
      <c r="R11" s="236">
        <f t="shared" si="0"/>
        <v>94</v>
      </c>
      <c r="S11" s="236">
        <f t="shared" si="0"/>
        <v>2</v>
      </c>
      <c r="T11" s="236">
        <f t="shared" si="0"/>
        <v>2</v>
      </c>
      <c r="U11" s="236">
        <f t="shared" si="0"/>
        <v>16</v>
      </c>
      <c r="V11" s="236">
        <f t="shared" si="0"/>
        <v>18</v>
      </c>
      <c r="W11" s="236">
        <f t="shared" si="0"/>
        <v>0</v>
      </c>
      <c r="X11" s="236">
        <f t="shared" si="0"/>
        <v>20</v>
      </c>
      <c r="Y11" s="236">
        <f t="shared" si="0"/>
        <v>0</v>
      </c>
      <c r="Z11" s="236">
        <f t="shared" si="0"/>
        <v>0</v>
      </c>
      <c r="AA11" s="236">
        <f t="shared" si="0"/>
        <v>0</v>
      </c>
      <c r="AB11" s="236">
        <f t="shared" si="0"/>
        <v>0</v>
      </c>
      <c r="AC11" s="236">
        <f t="shared" si="0"/>
        <v>0</v>
      </c>
      <c r="AD11" s="236">
        <f t="shared" si="0"/>
        <v>0</v>
      </c>
      <c r="AE11" s="236">
        <f t="shared" si="0"/>
        <v>0</v>
      </c>
      <c r="AF11" s="236">
        <f t="shared" si="0"/>
        <v>0</v>
      </c>
      <c r="AG11" s="236">
        <f t="shared" si="0"/>
        <v>0</v>
      </c>
      <c r="AH11" s="236">
        <f t="shared" si="0"/>
        <v>0</v>
      </c>
      <c r="AI11" s="236">
        <f t="shared" si="0"/>
        <v>0</v>
      </c>
      <c r="AJ11" s="236">
        <f t="shared" si="0"/>
        <v>0</v>
      </c>
      <c r="AK11" s="237"/>
    </row>
    <row r="12" spans="2:38" s="28" customFormat="1" ht="19.649999999999999" customHeight="1" x14ac:dyDescent="0.3">
      <c r="B12" s="231"/>
      <c r="C12" s="232" t="s">
        <v>145</v>
      </c>
      <c r="D12" s="233">
        <v>8</v>
      </c>
      <c r="E12" s="233">
        <f>+E11</f>
        <v>35</v>
      </c>
      <c r="F12" s="233">
        <f>+ROUND(G10/0.5,0)+1</f>
        <v>10</v>
      </c>
      <c r="G12" s="234">
        <f>(0.333+0.333+0.5+0.5+0.25)-8*0.083</f>
        <v>1.2519999999999998</v>
      </c>
      <c r="H12" s="234">
        <f>+G12*F12*E12</f>
        <v>438.19999999999993</v>
      </c>
      <c r="I12" s="234">
        <f>+IF(D12=8,H12,0)</f>
        <v>438.19999999999993</v>
      </c>
      <c r="J12" s="234">
        <f>+IF(D12=10,H12,0)</f>
        <v>0</v>
      </c>
      <c r="K12" s="235"/>
      <c r="M12" s="241" t="s">
        <v>92</v>
      </c>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7"/>
      <c r="AL12" s="243"/>
    </row>
    <row r="13" spans="2:38" s="28" customFormat="1" ht="19.649999999999999" customHeight="1" x14ac:dyDescent="0.3">
      <c r="B13" s="231"/>
      <c r="C13" s="232"/>
      <c r="D13" s="233"/>
      <c r="E13" s="233"/>
      <c r="F13" s="233"/>
      <c r="G13" s="234"/>
      <c r="H13" s="234"/>
      <c r="I13" s="234"/>
      <c r="J13" s="234"/>
      <c r="K13" s="235"/>
      <c r="M13" s="62"/>
      <c r="N13" s="236"/>
      <c r="O13" s="236"/>
      <c r="P13" s="236"/>
      <c r="Q13" s="236"/>
      <c r="R13" s="236"/>
      <c r="S13" s="236"/>
      <c r="T13" s="236"/>
      <c r="U13" s="236"/>
      <c r="V13" s="236"/>
      <c r="W13" s="224"/>
      <c r="X13" s="224"/>
      <c r="Y13" s="236"/>
      <c r="Z13" s="236"/>
      <c r="AA13" s="236"/>
      <c r="AB13" s="236"/>
      <c r="AC13" s="236"/>
      <c r="AD13" s="236"/>
      <c r="AE13" s="236"/>
      <c r="AF13" s="236"/>
      <c r="AG13" s="236"/>
      <c r="AH13" s="236">
        <v>3</v>
      </c>
      <c r="AI13" s="236"/>
      <c r="AJ13" s="236"/>
      <c r="AK13" s="237"/>
      <c r="AL13" s="243"/>
    </row>
    <row r="14" spans="2:38" s="28" customFormat="1" ht="19.649999999999999" customHeight="1" x14ac:dyDescent="0.3">
      <c r="B14" s="231">
        <v>3</v>
      </c>
      <c r="C14" s="240" t="s">
        <v>417</v>
      </c>
      <c r="D14" s="233">
        <v>10</v>
      </c>
      <c r="E14" s="233">
        <f>+P15</f>
        <v>77</v>
      </c>
      <c r="F14" s="233">
        <v>2</v>
      </c>
      <c r="G14" s="234">
        <f>2.5+0.67</f>
        <v>3.17</v>
      </c>
      <c r="H14" s="234">
        <f>+G14*F14*E14</f>
        <v>488.18</v>
      </c>
      <c r="I14" s="234">
        <f>+IF(D14=8,H14,0)</f>
        <v>0</v>
      </c>
      <c r="J14" s="234">
        <f>+IF(D14=10,H14,0)</f>
        <v>488.18</v>
      </c>
      <c r="K14" s="235"/>
      <c r="M14" s="62"/>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7"/>
      <c r="AL14" s="243"/>
    </row>
    <row r="15" spans="2:38" s="28" customFormat="1" ht="19.649999999999999" customHeight="1" x14ac:dyDescent="0.3">
      <c r="B15" s="231"/>
      <c r="C15" s="232" t="s">
        <v>144</v>
      </c>
      <c r="D15" s="233">
        <v>8</v>
      </c>
      <c r="E15" s="233">
        <f>+E14</f>
        <v>77</v>
      </c>
      <c r="F15" s="233">
        <v>2</v>
      </c>
      <c r="G15" s="234">
        <f>G14</f>
        <v>3.17</v>
      </c>
      <c r="H15" s="234">
        <f>+G15*F15*E15</f>
        <v>488.18</v>
      </c>
      <c r="I15" s="234">
        <f>+IF(D15=8,H15,0)</f>
        <v>488.18</v>
      </c>
      <c r="J15" s="234">
        <f>+IF(D15=10,H15,0)</f>
        <v>0</v>
      </c>
      <c r="K15" s="235"/>
      <c r="M15" s="241" t="s">
        <v>266</v>
      </c>
      <c r="N15" s="241">
        <f>SUM(N4:N14)</f>
        <v>25</v>
      </c>
      <c r="O15" s="241">
        <f t="shared" ref="O15:AJ15" si="1">SUM(O4:O14)</f>
        <v>35</v>
      </c>
      <c r="P15" s="241">
        <f t="shared" si="1"/>
        <v>77</v>
      </c>
      <c r="Q15" s="241">
        <f t="shared" si="1"/>
        <v>32</v>
      </c>
      <c r="R15" s="241">
        <f t="shared" si="1"/>
        <v>181</v>
      </c>
      <c r="S15" s="241">
        <f t="shared" si="1"/>
        <v>4</v>
      </c>
      <c r="T15" s="241">
        <f t="shared" si="1"/>
        <v>4</v>
      </c>
      <c r="U15" s="241">
        <f t="shared" si="1"/>
        <v>32</v>
      </c>
      <c r="V15" s="241">
        <f t="shared" si="1"/>
        <v>36</v>
      </c>
      <c r="W15" s="241">
        <f t="shared" si="1"/>
        <v>1</v>
      </c>
      <c r="X15" s="241">
        <f t="shared" si="1"/>
        <v>40</v>
      </c>
      <c r="Y15" s="241">
        <f t="shared" si="1"/>
        <v>2</v>
      </c>
      <c r="Z15" s="241">
        <f t="shared" si="1"/>
        <v>0</v>
      </c>
      <c r="AA15" s="241">
        <f t="shared" si="1"/>
        <v>0</v>
      </c>
      <c r="AB15" s="241">
        <f t="shared" si="1"/>
        <v>0</v>
      </c>
      <c r="AC15" s="241">
        <f t="shared" si="1"/>
        <v>0</v>
      </c>
      <c r="AD15" s="241">
        <f t="shared" si="1"/>
        <v>0</v>
      </c>
      <c r="AE15" s="241">
        <f t="shared" si="1"/>
        <v>0</v>
      </c>
      <c r="AF15" s="241">
        <f t="shared" si="1"/>
        <v>0</v>
      </c>
      <c r="AG15" s="241">
        <f t="shared" si="1"/>
        <v>0</v>
      </c>
      <c r="AH15" s="241">
        <f t="shared" si="1"/>
        <v>3</v>
      </c>
      <c r="AI15" s="241">
        <f t="shared" si="1"/>
        <v>0</v>
      </c>
      <c r="AJ15" s="241">
        <f t="shared" si="1"/>
        <v>0</v>
      </c>
      <c r="AK15" s="237"/>
      <c r="AL15" s="243"/>
    </row>
    <row r="16" spans="2:38" s="28" customFormat="1" ht="18" customHeight="1" x14ac:dyDescent="0.3">
      <c r="B16" s="231"/>
      <c r="C16" s="232" t="s">
        <v>145</v>
      </c>
      <c r="D16" s="233">
        <v>8</v>
      </c>
      <c r="E16" s="233">
        <f>+E15</f>
        <v>77</v>
      </c>
      <c r="F16" s="233">
        <f>+ROUND(G14/0.5,0)+1</f>
        <v>7</v>
      </c>
      <c r="G16" s="234">
        <f>(0.333+0.333+0.5+0.5+0.25)-8*0.083</f>
        <v>1.2519999999999998</v>
      </c>
      <c r="H16" s="234">
        <f>+G16*F16*E16</f>
        <v>674.82799999999997</v>
      </c>
      <c r="I16" s="234">
        <f>+IF(D16=8,H16,0)</f>
        <v>674.82799999999997</v>
      </c>
      <c r="J16" s="234">
        <f>+IF(D16=10,H16,0)</f>
        <v>0</v>
      </c>
      <c r="K16" s="235"/>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37"/>
      <c r="AL16" s="243"/>
    </row>
    <row r="17" spans="2:38" s="28" customFormat="1" ht="19.649999999999999" customHeight="1" x14ac:dyDescent="0.3">
      <c r="B17" s="231"/>
      <c r="C17" s="240"/>
      <c r="D17" s="244"/>
      <c r="E17" s="244"/>
      <c r="F17" s="244"/>
      <c r="G17" s="245"/>
      <c r="H17" s="245"/>
      <c r="I17" s="245"/>
      <c r="J17" s="245"/>
      <c r="K17" s="246"/>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37"/>
      <c r="AL17" s="243"/>
    </row>
    <row r="18" spans="2:38" s="28" customFormat="1" ht="19.649999999999999" customHeight="1" x14ac:dyDescent="0.3">
      <c r="B18" s="231">
        <v>4</v>
      </c>
      <c r="C18" s="240" t="s">
        <v>418</v>
      </c>
      <c r="D18" s="233">
        <v>10</v>
      </c>
      <c r="E18" s="316">
        <f>+$Q$15</f>
        <v>32</v>
      </c>
      <c r="F18" s="233">
        <v>2</v>
      </c>
      <c r="G18" s="242">
        <f>3.25+0.67</f>
        <v>3.92</v>
      </c>
      <c r="H18" s="242">
        <f>+G18*F18*E18</f>
        <v>250.88</v>
      </c>
      <c r="I18" s="242">
        <f>+IF(D18=8,H18,0)</f>
        <v>0</v>
      </c>
      <c r="J18" s="242">
        <f>+IF(D18=10,H18,0)</f>
        <v>250.88</v>
      </c>
      <c r="K18" s="235"/>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37"/>
      <c r="AL18" s="243"/>
    </row>
    <row r="19" spans="2:38" s="28" customFormat="1" ht="19.649999999999999" customHeight="1" x14ac:dyDescent="0.3">
      <c r="B19" s="231"/>
      <c r="C19" s="232" t="s">
        <v>144</v>
      </c>
      <c r="D19" s="233">
        <v>8</v>
      </c>
      <c r="E19" s="233">
        <f>+E18</f>
        <v>32</v>
      </c>
      <c r="F19" s="233">
        <v>2</v>
      </c>
      <c r="G19" s="234">
        <f>G18</f>
        <v>3.92</v>
      </c>
      <c r="H19" s="234">
        <f>+G19*F19*E19</f>
        <v>250.88</v>
      </c>
      <c r="I19" s="234">
        <f>+IF(D19=8,H19,0)</f>
        <v>250.88</v>
      </c>
      <c r="J19" s="234">
        <f>+IF(D19=10,H19,0)</f>
        <v>0</v>
      </c>
      <c r="K19" s="235"/>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37"/>
      <c r="AL19" s="243"/>
    </row>
    <row r="20" spans="2:38" s="28" customFormat="1" ht="19.649999999999999" customHeight="1" x14ac:dyDescent="0.3">
      <c r="B20" s="231"/>
      <c r="C20" s="232" t="s">
        <v>145</v>
      </c>
      <c r="D20" s="233">
        <v>8</v>
      </c>
      <c r="E20" s="233">
        <f>+E19</f>
        <v>32</v>
      </c>
      <c r="F20" s="233">
        <f>+ROUND(G18/0.5,0)+1</f>
        <v>9</v>
      </c>
      <c r="G20" s="234">
        <f>(0.666+0.666+0.5+0.5+0.25)-8*0.083</f>
        <v>1.9179999999999997</v>
      </c>
      <c r="H20" s="234">
        <f>+G20*F20*E20</f>
        <v>552.3839999999999</v>
      </c>
      <c r="I20" s="234">
        <f>+IF(D20=8,H20,0)</f>
        <v>552.3839999999999</v>
      </c>
      <c r="J20" s="234">
        <f>+IF(D20=10,H20,0)</f>
        <v>0</v>
      </c>
      <c r="K20" s="235"/>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37"/>
      <c r="AL20" s="243"/>
    </row>
    <row r="21" spans="2:38" s="28" customFormat="1" ht="19.649999999999999" customHeight="1" x14ac:dyDescent="0.3">
      <c r="B21" s="231"/>
      <c r="C21" s="232"/>
      <c r="D21" s="233"/>
      <c r="E21" s="233"/>
      <c r="F21" s="233"/>
      <c r="G21" s="234"/>
      <c r="H21" s="234"/>
      <c r="I21" s="234"/>
      <c r="J21" s="234"/>
      <c r="K21" s="235"/>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7">
        <f>SUM(N15:AJ15)</f>
        <v>472</v>
      </c>
      <c r="AL21" s="243"/>
    </row>
    <row r="22" spans="2:38" s="28" customFormat="1" ht="19.649999999999999" customHeight="1" x14ac:dyDescent="0.3">
      <c r="B22" s="231">
        <v>5</v>
      </c>
      <c r="C22" s="240" t="s">
        <v>419</v>
      </c>
      <c r="D22" s="233">
        <v>10</v>
      </c>
      <c r="E22" s="316">
        <f>+$R$15</f>
        <v>181</v>
      </c>
      <c r="F22" s="233">
        <v>2</v>
      </c>
      <c r="G22" s="242">
        <f>6+0.67</f>
        <v>6.67</v>
      </c>
      <c r="H22" s="242">
        <f>+G22*F22*E22</f>
        <v>2414.54</v>
      </c>
      <c r="I22" s="242">
        <f>+IF(D22=8,H22,0)</f>
        <v>0</v>
      </c>
      <c r="J22" s="242">
        <f>+IF(D22=10,H22,0)</f>
        <v>2414.54</v>
      </c>
      <c r="K22" s="235"/>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37"/>
      <c r="AL22" s="243"/>
    </row>
    <row r="23" spans="2:38" s="28" customFormat="1" ht="19.649999999999999" customHeight="1" x14ac:dyDescent="0.3">
      <c r="B23" s="231"/>
      <c r="C23" s="232" t="s">
        <v>144</v>
      </c>
      <c r="D23" s="233">
        <v>8</v>
      </c>
      <c r="E23" s="233">
        <f>+E22</f>
        <v>181</v>
      </c>
      <c r="F23" s="233">
        <v>2</v>
      </c>
      <c r="G23" s="234">
        <f>G22</f>
        <v>6.67</v>
      </c>
      <c r="H23" s="234">
        <f>+G23*F23*E23</f>
        <v>2414.54</v>
      </c>
      <c r="I23" s="234">
        <f>+IF(D23=8,H23,0)</f>
        <v>2414.54</v>
      </c>
      <c r="J23" s="234">
        <f>+IF(D23=10,H23,0)</f>
        <v>0</v>
      </c>
      <c r="K23" s="235"/>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37"/>
      <c r="AL23" s="243"/>
    </row>
    <row r="24" spans="2:38" s="28" customFormat="1" ht="19.649999999999999" customHeight="1" x14ac:dyDescent="0.3">
      <c r="B24" s="231"/>
      <c r="C24" s="232" t="s">
        <v>145</v>
      </c>
      <c r="D24" s="233">
        <v>8</v>
      </c>
      <c r="E24" s="233">
        <f>+E23</f>
        <v>181</v>
      </c>
      <c r="F24" s="233">
        <f>+ROUND(G22/0.5,0)+1</f>
        <v>14</v>
      </c>
      <c r="G24" s="234">
        <f>(0.666+0.666+0.5+0.5+0.25)-8*0.083</f>
        <v>1.9179999999999997</v>
      </c>
      <c r="H24" s="234">
        <f>+G24*F24*E24</f>
        <v>4860.2119999999995</v>
      </c>
      <c r="I24" s="234">
        <f>+IF(D24=8,H24,0)</f>
        <v>4860.2119999999995</v>
      </c>
      <c r="J24" s="234">
        <f>+IF(D24=10,H24,0)</f>
        <v>0</v>
      </c>
      <c r="K24" s="235"/>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37"/>
      <c r="AL24" s="243"/>
    </row>
    <row r="25" spans="2:38" s="28" customFormat="1" ht="19.649999999999999" customHeight="1" x14ac:dyDescent="0.3">
      <c r="B25" s="231"/>
      <c r="C25" s="232"/>
      <c r="D25" s="233"/>
      <c r="E25" s="233"/>
      <c r="F25" s="233"/>
      <c r="G25" s="234"/>
      <c r="H25" s="234"/>
      <c r="I25" s="234"/>
      <c r="J25" s="234"/>
      <c r="K25" s="235"/>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37"/>
      <c r="AL25" s="243"/>
    </row>
    <row r="26" spans="2:38" s="28" customFormat="1" ht="19.649999999999999" customHeight="1" x14ac:dyDescent="0.3">
      <c r="B26" s="231">
        <v>5</v>
      </c>
      <c r="C26" s="240" t="s">
        <v>421</v>
      </c>
      <c r="D26" s="233">
        <v>10</v>
      </c>
      <c r="E26" s="316">
        <f>+$S$15</f>
        <v>4</v>
      </c>
      <c r="F26" s="233">
        <v>2</v>
      </c>
      <c r="G26" s="242">
        <f>5+0.67</f>
        <v>5.67</v>
      </c>
      <c r="H26" s="242">
        <f>+G26*F26*E26</f>
        <v>45.36</v>
      </c>
      <c r="I26" s="242">
        <f>+IF(D26=8,H26,0)</f>
        <v>0</v>
      </c>
      <c r="J26" s="242">
        <f>+IF(D26=10,H26,0)</f>
        <v>45.36</v>
      </c>
      <c r="K26" s="235"/>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37"/>
      <c r="AL26" s="243"/>
    </row>
    <row r="27" spans="2:38" s="28" customFormat="1" ht="19.649999999999999" customHeight="1" x14ac:dyDescent="0.3">
      <c r="B27" s="231"/>
      <c r="C27" s="232" t="s">
        <v>144</v>
      </c>
      <c r="D27" s="233">
        <v>8</v>
      </c>
      <c r="E27" s="233">
        <f>+E26</f>
        <v>4</v>
      </c>
      <c r="F27" s="233">
        <v>2</v>
      </c>
      <c r="G27" s="234">
        <f>G26</f>
        <v>5.67</v>
      </c>
      <c r="H27" s="234">
        <f>+G27*F27*E27</f>
        <v>45.36</v>
      </c>
      <c r="I27" s="234">
        <f>+IF(D27=8,H27,0)</f>
        <v>45.36</v>
      </c>
      <c r="J27" s="234">
        <f>+IF(D27=10,H27,0)</f>
        <v>0</v>
      </c>
      <c r="K27" s="235"/>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37"/>
      <c r="AL27" s="243"/>
    </row>
    <row r="28" spans="2:38" s="28" customFormat="1" ht="19.649999999999999" customHeight="1" x14ac:dyDescent="0.3">
      <c r="B28" s="231"/>
      <c r="C28" s="232" t="s">
        <v>145</v>
      </c>
      <c r="D28" s="233">
        <v>8</v>
      </c>
      <c r="E28" s="233">
        <f>+E27</f>
        <v>4</v>
      </c>
      <c r="F28" s="233">
        <f>+ROUND(G26/0.5,0)+1</f>
        <v>12</v>
      </c>
      <c r="G28" s="234">
        <f>(0.666+0.666+0.5+0.5+0.25)-8*0.083</f>
        <v>1.9179999999999997</v>
      </c>
      <c r="H28" s="234">
        <f>+G28*F28*E28</f>
        <v>92.063999999999993</v>
      </c>
      <c r="I28" s="234">
        <f>+IF(D28=8,H28,0)</f>
        <v>92.063999999999993</v>
      </c>
      <c r="J28" s="234">
        <f>+IF(D28=10,H28,0)</f>
        <v>0</v>
      </c>
      <c r="K28" s="235"/>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37"/>
      <c r="AL28" s="243"/>
    </row>
    <row r="29" spans="2:38" s="28" customFormat="1" ht="19.649999999999999" customHeight="1" x14ac:dyDescent="0.3">
      <c r="B29" s="231"/>
      <c r="C29" s="232"/>
      <c r="D29" s="233"/>
      <c r="E29" s="233"/>
      <c r="F29" s="233"/>
      <c r="G29" s="234"/>
      <c r="H29" s="234"/>
      <c r="I29" s="234"/>
      <c r="J29" s="234"/>
      <c r="K29" s="235"/>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37"/>
      <c r="AL29" s="243"/>
    </row>
    <row r="30" spans="2:38" s="28" customFormat="1" ht="19.649999999999999" customHeight="1" x14ac:dyDescent="0.3">
      <c r="B30" s="231">
        <v>5</v>
      </c>
      <c r="C30" s="240" t="s">
        <v>149</v>
      </c>
      <c r="D30" s="233">
        <v>10</v>
      </c>
      <c r="E30" s="316">
        <f>+$T$15</f>
        <v>4</v>
      </c>
      <c r="F30" s="233">
        <v>2</v>
      </c>
      <c r="G30" s="242">
        <f>6+0.67</f>
        <v>6.67</v>
      </c>
      <c r="H30" s="242">
        <f>+G30*F30*E30</f>
        <v>53.36</v>
      </c>
      <c r="I30" s="242">
        <f>+IF(D30=8,H30,0)</f>
        <v>0</v>
      </c>
      <c r="J30" s="242">
        <f>+IF(D30=10,H30,0)</f>
        <v>53.36</v>
      </c>
      <c r="K30" s="235"/>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37"/>
      <c r="AL30" s="243"/>
    </row>
    <row r="31" spans="2:38" s="28" customFormat="1" ht="19.649999999999999" customHeight="1" x14ac:dyDescent="0.3">
      <c r="B31" s="231"/>
      <c r="C31" s="232" t="s">
        <v>144</v>
      </c>
      <c r="D31" s="233">
        <v>8</v>
      </c>
      <c r="E31" s="233">
        <f>+E30</f>
        <v>4</v>
      </c>
      <c r="F31" s="233">
        <v>2</v>
      </c>
      <c r="G31" s="234">
        <f>G30</f>
        <v>6.67</v>
      </c>
      <c r="H31" s="234">
        <f>+G31*F31*E31</f>
        <v>53.36</v>
      </c>
      <c r="I31" s="234">
        <f>+IF(D31=8,H31,0)</f>
        <v>53.36</v>
      </c>
      <c r="J31" s="234">
        <f>+IF(D31=10,H31,0)</f>
        <v>0</v>
      </c>
      <c r="K31" s="235"/>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37"/>
      <c r="AL31" s="243"/>
    </row>
    <row r="32" spans="2:38" s="28" customFormat="1" ht="19.649999999999999" customHeight="1" x14ac:dyDescent="0.3">
      <c r="B32" s="231"/>
      <c r="C32" s="232" t="s">
        <v>145</v>
      </c>
      <c r="D32" s="233">
        <v>8</v>
      </c>
      <c r="E32" s="233">
        <f>+E31</f>
        <v>4</v>
      </c>
      <c r="F32" s="233">
        <f>+ROUND(G30/0.5,0)+1</f>
        <v>14</v>
      </c>
      <c r="G32" s="234">
        <f>(0.666+0.666+0.5+0.5+0.25)-8*0.083</f>
        <v>1.9179999999999997</v>
      </c>
      <c r="H32" s="234">
        <f>+G32*F32*E32</f>
        <v>107.40799999999999</v>
      </c>
      <c r="I32" s="234">
        <f>+IF(D32=8,H32,0)</f>
        <v>107.40799999999999</v>
      </c>
      <c r="J32" s="234">
        <f>+IF(D32=10,H32,0)</f>
        <v>0</v>
      </c>
      <c r="K32" s="235"/>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37"/>
      <c r="AL32" s="243"/>
    </row>
    <row r="33" spans="2:38" s="28" customFormat="1" ht="19.649999999999999" customHeight="1" x14ac:dyDescent="0.3">
      <c r="B33" s="231"/>
      <c r="C33" s="232"/>
      <c r="D33" s="233"/>
      <c r="E33" s="233"/>
      <c r="F33" s="233"/>
      <c r="G33" s="234"/>
      <c r="H33" s="234"/>
      <c r="I33" s="234"/>
      <c r="J33" s="234"/>
      <c r="K33" s="235"/>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37"/>
      <c r="AL33" s="243"/>
    </row>
    <row r="34" spans="2:38" s="28" customFormat="1" ht="19.649999999999999" customHeight="1" x14ac:dyDescent="0.3">
      <c r="B34" s="231">
        <v>9</v>
      </c>
      <c r="C34" s="240" t="s">
        <v>422</v>
      </c>
      <c r="D34" s="233">
        <v>10</v>
      </c>
      <c r="E34" s="316">
        <f>+$U$15</f>
        <v>32</v>
      </c>
      <c r="F34" s="233">
        <v>2</v>
      </c>
      <c r="G34" s="242">
        <f>4+0.67</f>
        <v>4.67</v>
      </c>
      <c r="H34" s="242">
        <f>+G34*F34*E34</f>
        <v>298.88</v>
      </c>
      <c r="I34" s="242">
        <f>+IF(D34=8,H34,0)</f>
        <v>0</v>
      </c>
      <c r="J34" s="242">
        <f>+IF(D34=10,H34,0)</f>
        <v>298.88</v>
      </c>
      <c r="K34" s="235"/>
      <c r="M34" s="243"/>
      <c r="N34" s="243"/>
      <c r="O34" s="243"/>
      <c r="P34" s="243"/>
      <c r="Q34" s="243"/>
      <c r="R34" s="243"/>
      <c r="S34" s="243"/>
      <c r="T34" s="243"/>
      <c r="U34" s="243"/>
      <c r="V34" s="243"/>
      <c r="W34" s="243"/>
      <c r="X34" s="243"/>
      <c r="Y34" s="243"/>
      <c r="Z34" s="243"/>
      <c r="AA34" s="243"/>
      <c r="AB34" s="243"/>
      <c r="AC34" s="243"/>
      <c r="AD34" s="243"/>
      <c r="AE34" s="243"/>
      <c r="AF34" s="243"/>
    </row>
    <row r="35" spans="2:38" s="28" customFormat="1" ht="19.649999999999999" customHeight="1" x14ac:dyDescent="0.3">
      <c r="B35" s="231"/>
      <c r="C35" s="232" t="s">
        <v>144</v>
      </c>
      <c r="D35" s="233">
        <v>8</v>
      </c>
      <c r="E35" s="233">
        <f>+E34</f>
        <v>32</v>
      </c>
      <c r="F35" s="233">
        <v>2</v>
      </c>
      <c r="G35" s="234">
        <f>G34</f>
        <v>4.67</v>
      </c>
      <c r="H35" s="234">
        <f>+G35*F35*E35</f>
        <v>298.88</v>
      </c>
      <c r="I35" s="234">
        <f>+IF(D35=8,H35,0)</f>
        <v>298.88</v>
      </c>
      <c r="J35" s="234">
        <f>+IF(D35=10,H35,0)</f>
        <v>0</v>
      </c>
      <c r="K35" s="235"/>
      <c r="M35" s="243"/>
      <c r="N35" s="243"/>
      <c r="O35" s="243"/>
      <c r="P35" s="243"/>
      <c r="Q35" s="243"/>
      <c r="R35" s="243"/>
      <c r="S35" s="243"/>
      <c r="T35" s="243"/>
      <c r="U35" s="243"/>
      <c r="V35" s="243"/>
      <c r="W35" s="243"/>
      <c r="X35" s="243"/>
      <c r="Y35" s="243"/>
      <c r="Z35" s="243"/>
      <c r="AA35" s="243"/>
      <c r="AB35" s="243"/>
      <c r="AC35" s="243"/>
      <c r="AD35" s="243"/>
      <c r="AE35" s="243"/>
      <c r="AF35" s="243"/>
    </row>
    <row r="36" spans="2:38" s="28" customFormat="1" ht="18" customHeight="1" x14ac:dyDescent="0.3">
      <c r="B36" s="231"/>
      <c r="C36" s="232" t="s">
        <v>145</v>
      </c>
      <c r="D36" s="233">
        <v>8</v>
      </c>
      <c r="E36" s="233">
        <f>+E35</f>
        <v>32</v>
      </c>
      <c r="F36" s="233">
        <f>+ROUND(G34/0.5,0)+1</f>
        <v>10</v>
      </c>
      <c r="G36" s="234">
        <f>(0.666+0.666+0.5+0.5+0.25)-8*0.083</f>
        <v>1.9179999999999997</v>
      </c>
      <c r="H36" s="234">
        <f>+G36*F36*E36</f>
        <v>613.75999999999988</v>
      </c>
      <c r="I36" s="234">
        <f>+IF(D36=8,H36,0)</f>
        <v>613.75999999999988</v>
      </c>
      <c r="J36" s="234">
        <f>+IF(D36=10,H36,0)</f>
        <v>0</v>
      </c>
      <c r="K36" s="235"/>
      <c r="M36" s="243"/>
      <c r="N36" s="243"/>
      <c r="O36" s="243"/>
      <c r="P36" s="243"/>
      <c r="Q36" s="243"/>
      <c r="R36" s="243"/>
      <c r="S36" s="243"/>
      <c r="T36" s="243"/>
      <c r="U36" s="88"/>
      <c r="V36" s="88"/>
      <c r="W36" s="88"/>
      <c r="X36" s="88"/>
      <c r="Y36" s="88"/>
      <c r="Z36" s="88"/>
      <c r="AA36" s="88"/>
      <c r="AB36" s="88"/>
      <c r="AC36" s="88"/>
      <c r="AD36" s="88"/>
      <c r="AE36" s="88"/>
      <c r="AF36" s="88"/>
    </row>
    <row r="37" spans="2:38" s="28" customFormat="1" ht="18" customHeight="1" x14ac:dyDescent="0.3">
      <c r="B37" s="231"/>
      <c r="C37" s="232"/>
      <c r="D37" s="233"/>
      <c r="E37" s="233"/>
      <c r="F37" s="233"/>
      <c r="G37" s="234"/>
      <c r="H37" s="234"/>
      <c r="I37" s="234"/>
      <c r="J37" s="234"/>
      <c r="K37" s="235"/>
      <c r="M37" s="243"/>
      <c r="N37" s="243"/>
      <c r="O37" s="243"/>
      <c r="P37" s="243"/>
      <c r="Q37" s="243"/>
      <c r="R37" s="243"/>
      <c r="S37" s="243"/>
      <c r="T37" s="243"/>
      <c r="U37" s="88"/>
      <c r="V37" s="88"/>
      <c r="W37" s="88"/>
      <c r="X37" s="88"/>
      <c r="Y37" s="88"/>
      <c r="Z37" s="88"/>
      <c r="AA37" s="88"/>
      <c r="AB37" s="88"/>
      <c r="AC37" s="88"/>
      <c r="AD37" s="88"/>
      <c r="AE37" s="88"/>
      <c r="AF37" s="88"/>
    </row>
    <row r="38" spans="2:38" s="28" customFormat="1" ht="19.649999999999999" customHeight="1" x14ac:dyDescent="0.3">
      <c r="B38" s="231">
        <v>9</v>
      </c>
      <c r="C38" s="240" t="s">
        <v>151</v>
      </c>
      <c r="D38" s="233">
        <v>10</v>
      </c>
      <c r="E38" s="316">
        <f>+$V$15</f>
        <v>36</v>
      </c>
      <c r="F38" s="233">
        <v>2</v>
      </c>
      <c r="G38" s="242">
        <f>2+0.67</f>
        <v>2.67</v>
      </c>
      <c r="H38" s="242">
        <f>+G38*F38*E38</f>
        <v>192.24</v>
      </c>
      <c r="I38" s="242">
        <f>+IF(D38=8,H38,0)</f>
        <v>0</v>
      </c>
      <c r="J38" s="242">
        <f>+IF(D38=10,H38,0)</f>
        <v>192.24</v>
      </c>
      <c r="K38" s="235"/>
      <c r="M38" s="243"/>
      <c r="N38" s="243"/>
      <c r="O38" s="243"/>
      <c r="P38" s="243"/>
      <c r="Q38" s="243"/>
      <c r="R38" s="243"/>
      <c r="S38" s="243"/>
      <c r="T38" s="243"/>
      <c r="U38" s="243"/>
      <c r="V38" s="243"/>
      <c r="W38" s="243"/>
      <c r="X38" s="243"/>
      <c r="Y38" s="243"/>
      <c r="Z38" s="243"/>
      <c r="AA38" s="243"/>
      <c r="AB38" s="243"/>
      <c r="AC38" s="243"/>
      <c r="AD38" s="243"/>
      <c r="AE38" s="243"/>
      <c r="AF38" s="243"/>
    </row>
    <row r="39" spans="2:38" s="28" customFormat="1" ht="19.649999999999999" customHeight="1" x14ac:dyDescent="0.3">
      <c r="B39" s="231"/>
      <c r="C39" s="232" t="s">
        <v>144</v>
      </c>
      <c r="D39" s="233">
        <v>8</v>
      </c>
      <c r="E39" s="233">
        <f>+E38</f>
        <v>36</v>
      </c>
      <c r="F39" s="233">
        <v>2</v>
      </c>
      <c r="G39" s="234">
        <f>G38</f>
        <v>2.67</v>
      </c>
      <c r="H39" s="234">
        <f>+G39*F39*E39</f>
        <v>192.24</v>
      </c>
      <c r="I39" s="234">
        <f>+IF(D39=8,H39,0)</f>
        <v>192.24</v>
      </c>
      <c r="J39" s="234">
        <f>+IF(D39=10,H39,0)</f>
        <v>0</v>
      </c>
      <c r="K39" s="235"/>
      <c r="M39" s="243"/>
      <c r="N39" s="243"/>
      <c r="O39" s="243"/>
      <c r="P39" s="243"/>
      <c r="Q39" s="243"/>
      <c r="R39" s="243"/>
      <c r="S39" s="243"/>
      <c r="T39" s="243"/>
      <c r="U39" s="243"/>
      <c r="V39" s="243"/>
      <c r="W39" s="243"/>
      <c r="X39" s="243"/>
      <c r="Y39" s="243"/>
      <c r="Z39" s="243"/>
      <c r="AA39" s="243"/>
      <c r="AB39" s="243"/>
      <c r="AC39" s="243"/>
      <c r="AD39" s="243"/>
      <c r="AE39" s="243"/>
      <c r="AF39" s="243"/>
    </row>
    <row r="40" spans="2:38" s="28" customFormat="1" ht="18" customHeight="1" x14ac:dyDescent="0.3">
      <c r="B40" s="231"/>
      <c r="C40" s="232" t="s">
        <v>145</v>
      </c>
      <c r="D40" s="233">
        <v>8</v>
      </c>
      <c r="E40" s="233">
        <f>+E39</f>
        <v>36</v>
      </c>
      <c r="F40" s="233">
        <f>+ROUND(G38/0.5,0)+1</f>
        <v>6</v>
      </c>
      <c r="G40" s="234">
        <f>(0.666+0.666+0.5+0.5+0.25)-8*0.083</f>
        <v>1.9179999999999997</v>
      </c>
      <c r="H40" s="234">
        <f>+G40*F40*E40</f>
        <v>414.28799999999995</v>
      </c>
      <c r="I40" s="234">
        <f>+IF(D40=8,H40,0)</f>
        <v>414.28799999999995</v>
      </c>
      <c r="J40" s="234">
        <f>+IF(D40=10,H40,0)</f>
        <v>0</v>
      </c>
      <c r="K40" s="235"/>
      <c r="M40" s="243"/>
      <c r="N40" s="243"/>
      <c r="O40" s="243"/>
      <c r="P40" s="243"/>
      <c r="Q40" s="243"/>
      <c r="R40" s="243"/>
      <c r="S40" s="243"/>
      <c r="T40" s="243"/>
      <c r="U40" s="88"/>
      <c r="V40" s="88"/>
      <c r="W40" s="88"/>
      <c r="X40" s="88"/>
      <c r="Y40" s="88"/>
      <c r="Z40" s="88"/>
      <c r="AA40" s="88"/>
      <c r="AB40" s="88"/>
      <c r="AC40" s="88"/>
      <c r="AD40" s="88"/>
      <c r="AE40" s="88"/>
      <c r="AF40" s="88"/>
    </row>
    <row r="41" spans="2:38" s="28" customFormat="1" ht="18" customHeight="1" x14ac:dyDescent="0.3">
      <c r="B41" s="231"/>
      <c r="C41" s="232"/>
      <c r="D41" s="233"/>
      <c r="E41" s="233"/>
      <c r="F41" s="233"/>
      <c r="G41" s="234"/>
      <c r="H41" s="234"/>
      <c r="I41" s="234"/>
      <c r="J41" s="234"/>
      <c r="K41" s="235"/>
      <c r="M41" s="243"/>
      <c r="N41" s="243"/>
      <c r="O41" s="243"/>
      <c r="P41" s="243"/>
      <c r="Q41" s="243"/>
      <c r="R41" s="243"/>
      <c r="S41" s="243"/>
      <c r="T41" s="243"/>
      <c r="U41" s="88"/>
      <c r="V41" s="88"/>
      <c r="W41" s="88"/>
      <c r="X41" s="88"/>
      <c r="Y41" s="88"/>
      <c r="Z41" s="88"/>
      <c r="AA41" s="88"/>
      <c r="AB41" s="88"/>
      <c r="AC41" s="88"/>
      <c r="AD41" s="88"/>
      <c r="AE41" s="88"/>
      <c r="AF41" s="88"/>
    </row>
    <row r="42" spans="2:38" s="28" customFormat="1" ht="19.649999999999999" customHeight="1" x14ac:dyDescent="0.3">
      <c r="B42" s="231">
        <v>9</v>
      </c>
      <c r="C42" s="240" t="s">
        <v>423</v>
      </c>
      <c r="D42" s="233">
        <v>10</v>
      </c>
      <c r="E42" s="316">
        <f>+$W$15</f>
        <v>1</v>
      </c>
      <c r="F42" s="233">
        <v>2</v>
      </c>
      <c r="G42" s="242">
        <f>5+0.67</f>
        <v>5.67</v>
      </c>
      <c r="H42" s="242">
        <f>+G42*F42*E42</f>
        <v>11.34</v>
      </c>
      <c r="I42" s="242">
        <f>+IF(D42=8,H42,0)</f>
        <v>0</v>
      </c>
      <c r="J42" s="242">
        <f>+IF(D42=10,H42,0)</f>
        <v>11.34</v>
      </c>
      <c r="K42" s="235"/>
      <c r="M42" s="243"/>
      <c r="N42" s="243"/>
      <c r="O42" s="243"/>
      <c r="P42" s="243"/>
      <c r="Q42" s="243"/>
      <c r="R42" s="243"/>
      <c r="S42" s="243"/>
      <c r="T42" s="243"/>
      <c r="U42" s="243"/>
      <c r="V42" s="243"/>
      <c r="W42" s="243"/>
      <c r="X42" s="243"/>
      <c r="Y42" s="243"/>
      <c r="Z42" s="243"/>
      <c r="AA42" s="243"/>
      <c r="AB42" s="243"/>
      <c r="AC42" s="243"/>
      <c r="AD42" s="243"/>
      <c r="AE42" s="243"/>
      <c r="AF42" s="243"/>
    </row>
    <row r="43" spans="2:38" s="28" customFormat="1" ht="19.649999999999999" customHeight="1" x14ac:dyDescent="0.3">
      <c r="B43" s="231"/>
      <c r="C43" s="232" t="s">
        <v>144</v>
      </c>
      <c r="D43" s="233">
        <v>8</v>
      </c>
      <c r="E43" s="233">
        <f>+E42</f>
        <v>1</v>
      </c>
      <c r="F43" s="233">
        <v>2</v>
      </c>
      <c r="G43" s="234">
        <f>G42</f>
        <v>5.67</v>
      </c>
      <c r="H43" s="234">
        <f>+G43*F43*E43</f>
        <v>11.34</v>
      </c>
      <c r="I43" s="234">
        <f>+IF(D43=8,H43,0)</f>
        <v>11.34</v>
      </c>
      <c r="J43" s="234">
        <f>+IF(D43=10,H43,0)</f>
        <v>0</v>
      </c>
      <c r="K43" s="235"/>
      <c r="M43" s="243"/>
      <c r="N43" s="243"/>
      <c r="O43" s="243"/>
      <c r="P43" s="243"/>
      <c r="Q43" s="243"/>
      <c r="R43" s="243"/>
      <c r="S43" s="243"/>
      <c r="T43" s="243"/>
      <c r="U43" s="243"/>
      <c r="V43" s="243"/>
      <c r="W43" s="243"/>
      <c r="X43" s="243"/>
      <c r="Y43" s="243"/>
      <c r="Z43" s="243"/>
      <c r="AA43" s="243"/>
      <c r="AB43" s="243"/>
      <c r="AC43" s="243"/>
      <c r="AD43" s="243"/>
      <c r="AE43" s="243"/>
      <c r="AF43" s="243"/>
    </row>
    <row r="44" spans="2:38" s="28" customFormat="1" ht="18" customHeight="1" x14ac:dyDescent="0.3">
      <c r="B44" s="231"/>
      <c r="C44" s="232" t="s">
        <v>145</v>
      </c>
      <c r="D44" s="233">
        <v>8</v>
      </c>
      <c r="E44" s="233">
        <f>+E43</f>
        <v>1</v>
      </c>
      <c r="F44" s="233">
        <f>+ROUND(G42/0.5,0)+1</f>
        <v>12</v>
      </c>
      <c r="G44" s="234">
        <f>(0.666+0.666+0.5+0.5+0.25)-8*0.083</f>
        <v>1.9179999999999997</v>
      </c>
      <c r="H44" s="234">
        <f>+G44*F44*E44</f>
        <v>23.015999999999998</v>
      </c>
      <c r="I44" s="234">
        <f>+IF(D44=8,H44,0)</f>
        <v>23.015999999999998</v>
      </c>
      <c r="J44" s="234">
        <f>+IF(D44=10,H44,0)</f>
        <v>0</v>
      </c>
      <c r="K44" s="235"/>
      <c r="M44" s="243"/>
      <c r="N44" s="243"/>
      <c r="O44" s="243"/>
      <c r="P44" s="243"/>
      <c r="Q44" s="243"/>
      <c r="R44" s="243"/>
      <c r="S44" s="243"/>
      <c r="T44" s="243"/>
      <c r="U44" s="88"/>
      <c r="V44" s="88"/>
      <c r="W44" s="88"/>
      <c r="X44" s="88"/>
      <c r="Y44" s="88"/>
      <c r="Z44" s="88"/>
      <c r="AA44" s="88"/>
      <c r="AB44" s="88"/>
      <c r="AC44" s="88"/>
      <c r="AD44" s="88"/>
      <c r="AE44" s="88"/>
      <c r="AF44" s="88"/>
    </row>
    <row r="45" spans="2:38" s="28" customFormat="1" ht="18" customHeight="1" x14ac:dyDescent="0.3">
      <c r="B45" s="231"/>
      <c r="C45" s="232"/>
      <c r="D45" s="233"/>
      <c r="E45" s="233"/>
      <c r="F45" s="233"/>
      <c r="G45" s="234"/>
      <c r="H45" s="234"/>
      <c r="I45" s="234"/>
      <c r="J45" s="234"/>
      <c r="K45" s="235"/>
      <c r="M45" s="243"/>
      <c r="N45" s="243"/>
      <c r="O45" s="243"/>
      <c r="P45" s="243"/>
      <c r="Q45" s="243"/>
      <c r="R45" s="243"/>
      <c r="S45" s="243"/>
      <c r="T45" s="243"/>
      <c r="U45" s="88"/>
      <c r="V45" s="88"/>
      <c r="W45" s="88"/>
      <c r="X45" s="88"/>
      <c r="Y45" s="88"/>
      <c r="Z45" s="88"/>
      <c r="AA45" s="88"/>
      <c r="AB45" s="88"/>
      <c r="AC45" s="88"/>
      <c r="AD45" s="88"/>
      <c r="AE45" s="88"/>
      <c r="AF45" s="88"/>
    </row>
    <row r="46" spans="2:38" s="28" customFormat="1" ht="19.649999999999999" customHeight="1" x14ac:dyDescent="0.3">
      <c r="B46" s="231">
        <v>9</v>
      </c>
      <c r="C46" s="240" t="s">
        <v>424</v>
      </c>
      <c r="D46" s="233">
        <v>10</v>
      </c>
      <c r="E46" s="316">
        <f>+$X$15</f>
        <v>40</v>
      </c>
      <c r="F46" s="233">
        <v>2</v>
      </c>
      <c r="G46" s="242">
        <f>8+0.67</f>
        <v>8.67</v>
      </c>
      <c r="H46" s="242">
        <f>+G46*F46*E46</f>
        <v>693.6</v>
      </c>
      <c r="I46" s="242">
        <f>+IF(D46=8,H46,0)</f>
        <v>0</v>
      </c>
      <c r="J46" s="242">
        <f>+IF(D46=10,H46,0)</f>
        <v>693.6</v>
      </c>
      <c r="K46" s="235"/>
      <c r="M46" s="243"/>
      <c r="N46" s="243"/>
      <c r="O46" s="243"/>
      <c r="P46" s="243"/>
      <c r="Q46" s="243"/>
      <c r="R46" s="243"/>
      <c r="S46" s="243"/>
      <c r="T46" s="243"/>
      <c r="U46" s="243"/>
      <c r="V46" s="243"/>
      <c r="W46" s="243"/>
      <c r="X46" s="243"/>
      <c r="Y46" s="243"/>
      <c r="Z46" s="243"/>
      <c r="AA46" s="243"/>
      <c r="AB46" s="243"/>
      <c r="AC46" s="243"/>
      <c r="AD46" s="243"/>
      <c r="AE46" s="243"/>
      <c r="AF46" s="243"/>
    </row>
    <row r="47" spans="2:38" s="28" customFormat="1" ht="19.649999999999999" customHeight="1" x14ac:dyDescent="0.3">
      <c r="B47" s="231"/>
      <c r="C47" s="232" t="s">
        <v>144</v>
      </c>
      <c r="D47" s="233">
        <v>8</v>
      </c>
      <c r="E47" s="233">
        <f>+E46</f>
        <v>40</v>
      </c>
      <c r="F47" s="233">
        <v>2</v>
      </c>
      <c r="G47" s="234">
        <f>G46</f>
        <v>8.67</v>
      </c>
      <c r="H47" s="234">
        <f>+G47*F47*E47</f>
        <v>693.6</v>
      </c>
      <c r="I47" s="234">
        <f>+IF(D47=8,H47,0)</f>
        <v>693.6</v>
      </c>
      <c r="J47" s="234">
        <f>+IF(D47=10,H47,0)</f>
        <v>0</v>
      </c>
      <c r="K47" s="235"/>
      <c r="M47" s="243"/>
      <c r="N47" s="243"/>
      <c r="O47" s="243"/>
      <c r="P47" s="243"/>
      <c r="Q47" s="243"/>
      <c r="R47" s="243"/>
      <c r="S47" s="243"/>
      <c r="T47" s="243"/>
      <c r="U47" s="243"/>
      <c r="V47" s="243"/>
      <c r="W47" s="243"/>
      <c r="X47" s="243"/>
      <c r="Y47" s="243"/>
      <c r="Z47" s="243"/>
      <c r="AA47" s="243"/>
      <c r="AB47" s="243"/>
      <c r="AC47" s="243"/>
      <c r="AD47" s="243"/>
      <c r="AE47" s="243"/>
      <c r="AF47" s="243"/>
    </row>
    <row r="48" spans="2:38" s="28" customFormat="1" ht="18" customHeight="1" x14ac:dyDescent="0.3">
      <c r="B48" s="231"/>
      <c r="C48" s="232" t="s">
        <v>145</v>
      </c>
      <c r="D48" s="233">
        <v>8</v>
      </c>
      <c r="E48" s="233">
        <f>+E47</f>
        <v>40</v>
      </c>
      <c r="F48" s="233">
        <f>+ROUND(G46/0.5,0)+1</f>
        <v>18</v>
      </c>
      <c r="G48" s="234">
        <f>(0.666+0.666+0.5+0.5+0.25)-8*0.083</f>
        <v>1.9179999999999997</v>
      </c>
      <c r="H48" s="234">
        <f>+G48*F48*E48</f>
        <v>1380.9599999999998</v>
      </c>
      <c r="I48" s="234">
        <f>+IF(D48=8,H48,0)</f>
        <v>1380.9599999999998</v>
      </c>
      <c r="J48" s="234">
        <f>+IF(D48=10,H48,0)</f>
        <v>0</v>
      </c>
      <c r="K48" s="235"/>
      <c r="M48" s="243"/>
      <c r="N48" s="243"/>
      <c r="O48" s="243"/>
      <c r="P48" s="243"/>
      <c r="Q48" s="243"/>
      <c r="R48" s="243"/>
      <c r="S48" s="243"/>
      <c r="T48" s="243"/>
      <c r="U48" s="88"/>
      <c r="V48" s="88"/>
      <c r="W48" s="88"/>
      <c r="X48" s="88"/>
      <c r="Y48" s="88"/>
      <c r="Z48" s="88"/>
      <c r="AA48" s="88"/>
      <c r="AB48" s="88"/>
      <c r="AC48" s="88"/>
      <c r="AD48" s="88"/>
      <c r="AE48" s="88"/>
      <c r="AF48" s="88"/>
    </row>
    <row r="49" spans="2:37" s="28" customFormat="1" ht="18" customHeight="1" x14ac:dyDescent="0.3">
      <c r="B49" s="231"/>
      <c r="C49" s="232"/>
      <c r="D49" s="233"/>
      <c r="E49" s="233"/>
      <c r="F49" s="233"/>
      <c r="G49" s="234"/>
      <c r="H49" s="234"/>
      <c r="I49" s="234"/>
      <c r="J49" s="234"/>
      <c r="K49" s="235"/>
      <c r="M49" s="243"/>
      <c r="N49" s="243"/>
      <c r="O49" s="243"/>
      <c r="P49" s="243"/>
      <c r="Q49" s="243"/>
      <c r="R49" s="243"/>
      <c r="S49" s="243"/>
      <c r="T49" s="243"/>
      <c r="U49" s="88"/>
      <c r="V49" s="88"/>
      <c r="W49" s="88"/>
      <c r="X49" s="88"/>
      <c r="Y49" s="88"/>
      <c r="Z49" s="88"/>
      <c r="AA49" s="88"/>
      <c r="AB49" s="88"/>
      <c r="AC49" s="88"/>
      <c r="AD49" s="88"/>
      <c r="AE49" s="88"/>
      <c r="AF49" s="88"/>
    </row>
    <row r="50" spans="2:37" s="28" customFormat="1" ht="19.649999999999999" customHeight="1" x14ac:dyDescent="0.3">
      <c r="B50" s="231">
        <v>13</v>
      </c>
      <c r="C50" s="240" t="s">
        <v>425</v>
      </c>
      <c r="D50" s="233">
        <v>10</v>
      </c>
      <c r="E50" s="316">
        <f>+$Y$15</f>
        <v>2</v>
      </c>
      <c r="F50" s="233">
        <v>2</v>
      </c>
      <c r="G50" s="242">
        <f>8+0.67</f>
        <v>8.67</v>
      </c>
      <c r="H50" s="242">
        <f>+G50*F50*E50</f>
        <v>34.68</v>
      </c>
      <c r="I50" s="242">
        <f>+IF(D50=8,H50,0)</f>
        <v>0</v>
      </c>
      <c r="J50" s="242">
        <f>+IF(D50=10,H50,0)</f>
        <v>34.68</v>
      </c>
      <c r="K50" s="235"/>
      <c r="M50" s="243"/>
      <c r="N50" s="243"/>
      <c r="O50" s="243"/>
      <c r="P50" s="243"/>
      <c r="Q50" s="243"/>
      <c r="R50" s="243"/>
      <c r="S50" s="243"/>
      <c r="T50" s="243"/>
      <c r="U50" s="243"/>
      <c r="V50" s="243"/>
      <c r="W50" s="243"/>
      <c r="X50" s="243"/>
      <c r="Y50" s="243"/>
      <c r="Z50" s="243"/>
      <c r="AA50" s="243"/>
      <c r="AB50" s="243"/>
      <c r="AC50" s="243"/>
      <c r="AD50" s="243"/>
      <c r="AE50" s="243"/>
      <c r="AF50" s="243"/>
    </row>
    <row r="51" spans="2:37" s="28" customFormat="1" ht="19.649999999999999" customHeight="1" x14ac:dyDescent="0.3">
      <c r="B51" s="231"/>
      <c r="C51" s="232" t="s">
        <v>144</v>
      </c>
      <c r="D51" s="233">
        <v>8</v>
      </c>
      <c r="E51" s="263">
        <f>+E50</f>
        <v>2</v>
      </c>
      <c r="F51" s="233">
        <v>2</v>
      </c>
      <c r="G51" s="242">
        <f>G50</f>
        <v>8.67</v>
      </c>
      <c r="H51" s="242">
        <f>+G51*F51*E51</f>
        <v>34.68</v>
      </c>
      <c r="I51" s="242">
        <f>+IF(D51=8,H51,0)</f>
        <v>34.68</v>
      </c>
      <c r="J51" s="242">
        <f>+IF(D51=10,H51,0)</f>
        <v>0</v>
      </c>
      <c r="K51" s="235"/>
      <c r="M51" s="243"/>
      <c r="N51" s="243"/>
      <c r="O51" s="243"/>
      <c r="P51" s="243"/>
      <c r="Q51" s="243"/>
      <c r="R51" s="243"/>
      <c r="S51" s="243"/>
      <c r="T51" s="243"/>
      <c r="U51" s="243"/>
      <c r="V51" s="243"/>
      <c r="W51" s="243"/>
      <c r="X51" s="243"/>
      <c r="Y51" s="243"/>
      <c r="Z51" s="243"/>
      <c r="AA51" s="243"/>
      <c r="AB51" s="243"/>
      <c r="AC51" s="243"/>
      <c r="AD51" s="243"/>
      <c r="AE51" s="243"/>
      <c r="AF51" s="243"/>
      <c r="AK51" s="243"/>
    </row>
    <row r="52" spans="2:37" s="28" customFormat="1" ht="19.649999999999999" customHeight="1" x14ac:dyDescent="0.3">
      <c r="B52" s="231"/>
      <c r="C52" s="232" t="s">
        <v>145</v>
      </c>
      <c r="D52" s="233">
        <v>8</v>
      </c>
      <c r="E52" s="263">
        <f>+E51</f>
        <v>2</v>
      </c>
      <c r="F52" s="233">
        <f>+ROUND(G50/0.5,0)+1</f>
        <v>18</v>
      </c>
      <c r="G52" s="234">
        <f>(0.666+0.666+0.5+0.5+0.25)-8*0.083</f>
        <v>1.9179999999999997</v>
      </c>
      <c r="H52" s="242">
        <f>+G52*F52*E52</f>
        <v>69.047999999999988</v>
      </c>
      <c r="I52" s="242">
        <f>+IF(D52=8,H52,0)</f>
        <v>69.047999999999988</v>
      </c>
      <c r="J52" s="242">
        <f>+IF(D52=10,H52,0)</f>
        <v>0</v>
      </c>
      <c r="K52" s="235"/>
      <c r="M52" s="243"/>
      <c r="N52" s="243"/>
      <c r="O52" s="243"/>
      <c r="P52" s="243"/>
      <c r="Q52" s="243"/>
      <c r="R52" s="243"/>
      <c r="S52" s="243"/>
      <c r="T52" s="243"/>
      <c r="U52" s="243"/>
      <c r="V52" s="243"/>
      <c r="W52" s="243"/>
      <c r="X52" s="243"/>
      <c r="Y52" s="243"/>
      <c r="Z52" s="243"/>
      <c r="AA52" s="243"/>
      <c r="AB52" s="243"/>
      <c r="AC52" s="243"/>
      <c r="AD52" s="243"/>
      <c r="AE52" s="243"/>
      <c r="AF52" s="243"/>
    </row>
    <row r="53" spans="2:37" s="28" customFormat="1" ht="19.649999999999999" customHeight="1" x14ac:dyDescent="0.3">
      <c r="B53" s="231"/>
      <c r="C53" s="232"/>
      <c r="D53" s="233"/>
      <c r="E53" s="263"/>
      <c r="F53" s="233"/>
      <c r="G53" s="234"/>
      <c r="H53" s="242"/>
      <c r="I53" s="242"/>
      <c r="J53" s="242"/>
      <c r="K53" s="235"/>
      <c r="M53" s="243"/>
      <c r="N53" s="243"/>
      <c r="O53" s="243"/>
      <c r="P53" s="243"/>
      <c r="Q53" s="243"/>
      <c r="R53" s="243"/>
      <c r="S53" s="243"/>
      <c r="T53" s="243"/>
      <c r="U53" s="243"/>
      <c r="V53" s="243"/>
      <c r="W53" s="243"/>
      <c r="X53" s="243"/>
      <c r="Y53" s="243"/>
      <c r="Z53" s="243"/>
      <c r="AA53" s="243"/>
      <c r="AB53" s="243"/>
      <c r="AC53" s="243"/>
      <c r="AD53" s="243"/>
      <c r="AE53" s="243"/>
      <c r="AF53" s="243"/>
    </row>
    <row r="54" spans="2:37" s="28" customFormat="1" ht="19.649999999999999" customHeight="1" x14ac:dyDescent="0.3">
      <c r="B54" s="231">
        <v>13</v>
      </c>
      <c r="C54" s="240" t="s">
        <v>426</v>
      </c>
      <c r="D54" s="233">
        <v>10</v>
      </c>
      <c r="E54" s="316">
        <f>+$Z$15</f>
        <v>0</v>
      </c>
      <c r="F54" s="233">
        <v>2</v>
      </c>
      <c r="G54" s="242">
        <f>4+0.67</f>
        <v>4.67</v>
      </c>
      <c r="H54" s="242">
        <f>+G54*F54*E54</f>
        <v>0</v>
      </c>
      <c r="I54" s="242">
        <f>+IF(D54=8,H54,0)</f>
        <v>0</v>
      </c>
      <c r="J54" s="242">
        <f>+IF(D54=10,H54,0)</f>
        <v>0</v>
      </c>
      <c r="K54" s="235"/>
      <c r="M54" s="243"/>
      <c r="N54" s="243"/>
      <c r="O54" s="243"/>
      <c r="P54" s="243"/>
      <c r="Q54" s="243"/>
      <c r="R54" s="243"/>
      <c r="S54" s="243"/>
      <c r="T54" s="243"/>
      <c r="U54" s="243"/>
      <c r="V54" s="243"/>
      <c r="W54" s="243"/>
      <c r="X54" s="243"/>
      <c r="Y54" s="243"/>
      <c r="Z54" s="243"/>
      <c r="AA54" s="243"/>
      <c r="AB54" s="243"/>
      <c r="AC54" s="243"/>
      <c r="AD54" s="243"/>
      <c r="AE54" s="243"/>
      <c r="AF54" s="243"/>
    </row>
    <row r="55" spans="2:37" s="28" customFormat="1" ht="19.649999999999999" customHeight="1" x14ac:dyDescent="0.3">
      <c r="B55" s="231"/>
      <c r="C55" s="232" t="s">
        <v>144</v>
      </c>
      <c r="D55" s="233">
        <v>8</v>
      </c>
      <c r="E55" s="263">
        <f>+E54</f>
        <v>0</v>
      </c>
      <c r="F55" s="233">
        <v>2</v>
      </c>
      <c r="G55" s="242">
        <f>G54</f>
        <v>4.67</v>
      </c>
      <c r="H55" s="242">
        <f>+G55*F55*E55</f>
        <v>0</v>
      </c>
      <c r="I55" s="242">
        <f>+IF(D55=8,H55,0)</f>
        <v>0</v>
      </c>
      <c r="J55" s="242">
        <f>+IF(D55=10,H55,0)</f>
        <v>0</v>
      </c>
      <c r="K55" s="235"/>
      <c r="M55" s="243"/>
      <c r="N55" s="243"/>
      <c r="O55" s="243"/>
      <c r="P55" s="243"/>
      <c r="Q55" s="243"/>
      <c r="R55" s="243"/>
      <c r="S55" s="243"/>
      <c r="T55" s="243"/>
      <c r="U55" s="243"/>
      <c r="V55" s="243"/>
      <c r="W55" s="243"/>
      <c r="X55" s="243"/>
      <c r="Y55" s="243"/>
      <c r="Z55" s="243"/>
      <c r="AA55" s="243"/>
      <c r="AB55" s="243"/>
      <c r="AC55" s="243"/>
      <c r="AD55" s="243"/>
      <c r="AE55" s="243"/>
      <c r="AF55" s="243"/>
      <c r="AK55" s="243"/>
    </row>
    <row r="56" spans="2:37" s="28" customFormat="1" ht="19.649999999999999" customHeight="1" x14ac:dyDescent="0.3">
      <c r="B56" s="231"/>
      <c r="C56" s="232" t="s">
        <v>145</v>
      </c>
      <c r="D56" s="233">
        <v>8</v>
      </c>
      <c r="E56" s="263">
        <f>+E55</f>
        <v>0</v>
      </c>
      <c r="F56" s="233">
        <f>+ROUND(G54/0.5,0)+1</f>
        <v>10</v>
      </c>
      <c r="G56" s="234">
        <f>(0.666+0.666+0.5+0.5+0.25)-8*0.083</f>
        <v>1.9179999999999997</v>
      </c>
      <c r="H56" s="242">
        <f>+G56*F56*E56</f>
        <v>0</v>
      </c>
      <c r="I56" s="242">
        <f>+IF(D56=8,H56,0)</f>
        <v>0</v>
      </c>
      <c r="J56" s="242">
        <f>+IF(D56=10,H56,0)</f>
        <v>0</v>
      </c>
      <c r="K56" s="235"/>
      <c r="M56" s="243"/>
      <c r="N56" s="243"/>
      <c r="O56" s="243"/>
      <c r="P56" s="243"/>
      <c r="Q56" s="243"/>
      <c r="R56" s="243"/>
      <c r="S56" s="243"/>
      <c r="T56" s="243"/>
      <c r="U56" s="243"/>
      <c r="V56" s="243"/>
      <c r="W56" s="243"/>
      <c r="X56" s="243"/>
      <c r="Y56" s="243"/>
      <c r="Z56" s="243"/>
      <c r="AA56" s="243"/>
      <c r="AB56" s="243"/>
      <c r="AC56" s="243"/>
      <c r="AD56" s="243"/>
      <c r="AE56" s="243"/>
      <c r="AF56" s="243"/>
    </row>
    <row r="57" spans="2:37" s="28" customFormat="1" ht="19.649999999999999" customHeight="1" x14ac:dyDescent="0.3">
      <c r="B57" s="231"/>
      <c r="C57" s="232"/>
      <c r="D57" s="233"/>
      <c r="E57" s="263"/>
      <c r="F57" s="233"/>
      <c r="G57" s="234"/>
      <c r="H57" s="242"/>
      <c r="I57" s="242"/>
      <c r="J57" s="242"/>
      <c r="K57" s="235"/>
      <c r="M57" s="243"/>
      <c r="N57" s="243"/>
      <c r="O57" s="243"/>
      <c r="P57" s="243"/>
      <c r="Q57" s="243"/>
      <c r="R57" s="243"/>
      <c r="S57" s="243"/>
      <c r="T57" s="243"/>
      <c r="U57" s="243"/>
      <c r="V57" s="243"/>
      <c r="W57" s="243"/>
      <c r="X57" s="243"/>
      <c r="Y57" s="243"/>
      <c r="Z57" s="243"/>
      <c r="AA57" s="243"/>
      <c r="AB57" s="243"/>
      <c r="AC57" s="243"/>
      <c r="AD57" s="243"/>
      <c r="AE57" s="243"/>
      <c r="AF57" s="243"/>
    </row>
    <row r="58" spans="2:37" s="28" customFormat="1" ht="19.649999999999999" customHeight="1" x14ac:dyDescent="0.3">
      <c r="B58" s="231">
        <v>13</v>
      </c>
      <c r="C58" s="240" t="s">
        <v>267</v>
      </c>
      <c r="D58" s="233">
        <v>10</v>
      </c>
      <c r="E58" s="316">
        <f>+$AA$15</f>
        <v>0</v>
      </c>
      <c r="F58" s="233">
        <v>2</v>
      </c>
      <c r="G58" s="242">
        <f>5+0.67</f>
        <v>5.67</v>
      </c>
      <c r="H58" s="242">
        <f>+G58*F58*E58</f>
        <v>0</v>
      </c>
      <c r="I58" s="242">
        <f>+IF(D58=8,H58,0)</f>
        <v>0</v>
      </c>
      <c r="J58" s="242">
        <f>+IF(D58=10,H58,0)</f>
        <v>0</v>
      </c>
      <c r="K58" s="235"/>
      <c r="M58" s="243"/>
      <c r="N58" s="243"/>
      <c r="O58" s="243"/>
      <c r="P58" s="243"/>
      <c r="Q58" s="243"/>
      <c r="R58" s="243"/>
      <c r="S58" s="243"/>
      <c r="T58" s="243"/>
      <c r="U58" s="243"/>
      <c r="V58" s="243"/>
      <c r="W58" s="243"/>
      <c r="X58" s="243"/>
      <c r="Y58" s="243"/>
      <c r="Z58" s="243"/>
      <c r="AA58" s="243"/>
      <c r="AB58" s="243"/>
      <c r="AC58" s="243"/>
      <c r="AD58" s="243"/>
      <c r="AE58" s="243"/>
      <c r="AF58" s="243"/>
    </row>
    <row r="59" spans="2:37" s="28" customFormat="1" ht="19.649999999999999" customHeight="1" x14ac:dyDescent="0.3">
      <c r="B59" s="231"/>
      <c r="C59" s="232" t="s">
        <v>144</v>
      </c>
      <c r="D59" s="233">
        <v>8</v>
      </c>
      <c r="E59" s="263">
        <f>+E58</f>
        <v>0</v>
      </c>
      <c r="F59" s="233">
        <v>2</v>
      </c>
      <c r="G59" s="242">
        <f>G58</f>
        <v>5.67</v>
      </c>
      <c r="H59" s="242">
        <f>+G59*F59*E59</f>
        <v>0</v>
      </c>
      <c r="I59" s="242">
        <f>+IF(D59=8,H59,0)</f>
        <v>0</v>
      </c>
      <c r="J59" s="242">
        <f>+IF(D59=10,H59,0)</f>
        <v>0</v>
      </c>
      <c r="K59" s="235"/>
      <c r="M59" s="243"/>
      <c r="N59" s="243"/>
      <c r="O59" s="243"/>
      <c r="P59" s="243"/>
      <c r="Q59" s="243"/>
      <c r="R59" s="243"/>
      <c r="S59" s="243"/>
      <c r="T59" s="243"/>
      <c r="U59" s="243"/>
      <c r="V59" s="243"/>
      <c r="W59" s="243"/>
      <c r="X59" s="243"/>
      <c r="Y59" s="243"/>
      <c r="Z59" s="243"/>
      <c r="AA59" s="243"/>
      <c r="AB59" s="243"/>
      <c r="AC59" s="243"/>
      <c r="AD59" s="243"/>
      <c r="AE59" s="243"/>
      <c r="AF59" s="243"/>
      <c r="AK59" s="243"/>
    </row>
    <row r="60" spans="2:37" s="28" customFormat="1" ht="19.649999999999999" customHeight="1" x14ac:dyDescent="0.3">
      <c r="B60" s="231"/>
      <c r="C60" s="232" t="s">
        <v>145</v>
      </c>
      <c r="D60" s="233">
        <v>8</v>
      </c>
      <c r="E60" s="263">
        <f>+E59</f>
        <v>0</v>
      </c>
      <c r="F60" s="233">
        <f>+ROUND(G58/0.5,0)+1</f>
        <v>12</v>
      </c>
      <c r="G60" s="234">
        <f>(0.666+0.666+0.5+0.5+0.25)-8*0.083</f>
        <v>1.9179999999999997</v>
      </c>
      <c r="H60" s="242">
        <f>+G60*F60*E60</f>
        <v>0</v>
      </c>
      <c r="I60" s="242">
        <f>+IF(D60=8,H60,0)</f>
        <v>0</v>
      </c>
      <c r="J60" s="242">
        <f>+IF(D60=10,H60,0)</f>
        <v>0</v>
      </c>
      <c r="K60" s="235"/>
      <c r="M60" s="243"/>
      <c r="N60" s="243"/>
      <c r="O60" s="243"/>
      <c r="P60" s="243"/>
      <c r="Q60" s="243"/>
      <c r="R60" s="243"/>
      <c r="S60" s="243"/>
      <c r="T60" s="243"/>
      <c r="U60" s="243"/>
      <c r="V60" s="243"/>
      <c r="W60" s="243"/>
      <c r="X60" s="243"/>
      <c r="Y60" s="243"/>
      <c r="Z60" s="243"/>
      <c r="AA60" s="243"/>
      <c r="AB60" s="243"/>
      <c r="AC60" s="243"/>
      <c r="AD60" s="243"/>
      <c r="AE60" s="243"/>
      <c r="AF60" s="243"/>
    </row>
    <row r="61" spans="2:37" s="28" customFormat="1" ht="19.649999999999999" customHeight="1" x14ac:dyDescent="0.3">
      <c r="B61" s="231"/>
      <c r="C61" s="232"/>
      <c r="D61" s="233"/>
      <c r="E61" s="263"/>
      <c r="F61" s="233"/>
      <c r="G61" s="234"/>
      <c r="H61" s="242"/>
      <c r="I61" s="242"/>
      <c r="J61" s="242"/>
      <c r="K61" s="235"/>
      <c r="M61" s="243"/>
      <c r="N61" s="243"/>
      <c r="O61" s="243"/>
      <c r="P61" s="243"/>
      <c r="Q61" s="243"/>
      <c r="R61" s="243"/>
      <c r="S61" s="243"/>
      <c r="T61" s="243"/>
      <c r="U61" s="243"/>
      <c r="V61" s="243"/>
      <c r="W61" s="243"/>
      <c r="X61" s="243"/>
      <c r="Y61" s="243"/>
      <c r="Z61" s="243"/>
      <c r="AA61" s="243"/>
      <c r="AB61" s="243"/>
      <c r="AC61" s="243"/>
      <c r="AD61" s="243"/>
      <c r="AE61" s="243"/>
      <c r="AF61" s="243"/>
    </row>
    <row r="62" spans="2:37" s="28" customFormat="1" ht="19.649999999999999" customHeight="1" x14ac:dyDescent="0.3">
      <c r="B62" s="231">
        <v>13</v>
      </c>
      <c r="C62" s="240" t="s">
        <v>268</v>
      </c>
      <c r="D62" s="233">
        <v>10</v>
      </c>
      <c r="E62" s="316">
        <f>+$AB$15</f>
        <v>0</v>
      </c>
      <c r="F62" s="233">
        <v>2</v>
      </c>
      <c r="G62" s="242">
        <f>3+0.67</f>
        <v>3.67</v>
      </c>
      <c r="H62" s="242">
        <f>+G62*F62*E62</f>
        <v>0</v>
      </c>
      <c r="I62" s="242">
        <f>+IF(D62=8,H62,0)</f>
        <v>0</v>
      </c>
      <c r="J62" s="242">
        <f>+IF(D62=10,H62,0)</f>
        <v>0</v>
      </c>
      <c r="K62" s="235"/>
      <c r="M62" s="243"/>
      <c r="N62" s="243"/>
      <c r="O62" s="243"/>
      <c r="P62" s="243"/>
      <c r="Q62" s="243"/>
      <c r="R62" s="243"/>
      <c r="S62" s="243"/>
      <c r="T62" s="243"/>
      <c r="U62" s="243"/>
      <c r="V62" s="243"/>
      <c r="W62" s="243"/>
      <c r="X62" s="243"/>
      <c r="Y62" s="243"/>
      <c r="Z62" s="243"/>
      <c r="AA62" s="243"/>
      <c r="AB62" s="243"/>
      <c r="AC62" s="243"/>
      <c r="AD62" s="243"/>
      <c r="AE62" s="243"/>
      <c r="AF62" s="243"/>
    </row>
    <row r="63" spans="2:37" s="28" customFormat="1" ht="19.649999999999999" customHeight="1" x14ac:dyDescent="0.3">
      <c r="B63" s="231"/>
      <c r="C63" s="232" t="s">
        <v>144</v>
      </c>
      <c r="D63" s="233">
        <v>8</v>
      </c>
      <c r="E63" s="263">
        <f>+E62</f>
        <v>0</v>
      </c>
      <c r="F63" s="233">
        <v>2</v>
      </c>
      <c r="G63" s="242">
        <f>G62</f>
        <v>3.67</v>
      </c>
      <c r="H63" s="242">
        <f>+G63*F63*E63</f>
        <v>0</v>
      </c>
      <c r="I63" s="242">
        <f>+IF(D63=8,H63,0)</f>
        <v>0</v>
      </c>
      <c r="J63" s="242">
        <f>+IF(D63=10,H63,0)</f>
        <v>0</v>
      </c>
      <c r="K63" s="235"/>
      <c r="M63" s="243"/>
      <c r="N63" s="243"/>
      <c r="O63" s="243"/>
      <c r="P63" s="243"/>
      <c r="Q63" s="243"/>
      <c r="R63" s="243"/>
      <c r="S63" s="243"/>
      <c r="T63" s="243"/>
      <c r="U63" s="243"/>
      <c r="V63" s="243"/>
      <c r="W63" s="243"/>
      <c r="X63" s="243"/>
      <c r="Y63" s="243"/>
      <c r="Z63" s="243"/>
      <c r="AA63" s="243"/>
      <c r="AB63" s="243"/>
      <c r="AC63" s="243"/>
      <c r="AD63" s="243"/>
      <c r="AE63" s="243"/>
      <c r="AF63" s="243"/>
      <c r="AK63" s="243"/>
    </row>
    <row r="64" spans="2:37" s="28" customFormat="1" ht="19.649999999999999" customHeight="1" x14ac:dyDescent="0.3">
      <c r="B64" s="231"/>
      <c r="C64" s="232" t="s">
        <v>145</v>
      </c>
      <c r="D64" s="233">
        <v>8</v>
      </c>
      <c r="E64" s="263">
        <f>+E63</f>
        <v>0</v>
      </c>
      <c r="F64" s="233">
        <f>+ROUND(G62/0.5,0)+1</f>
        <v>8</v>
      </c>
      <c r="G64" s="234">
        <f>(0.666+0.666+0.5+0.5+0.25)-8*0.083</f>
        <v>1.9179999999999997</v>
      </c>
      <c r="H64" s="242">
        <f>+G64*F64*E64</f>
        <v>0</v>
      </c>
      <c r="I64" s="242">
        <f>+IF(D64=8,H64,0)</f>
        <v>0</v>
      </c>
      <c r="J64" s="242">
        <f>+IF(D64=10,H64,0)</f>
        <v>0</v>
      </c>
      <c r="K64" s="235"/>
      <c r="M64" s="243"/>
      <c r="N64" s="243"/>
      <c r="O64" s="243"/>
      <c r="P64" s="243"/>
      <c r="Q64" s="243"/>
      <c r="R64" s="243"/>
      <c r="S64" s="243"/>
      <c r="T64" s="243"/>
      <c r="U64" s="243"/>
      <c r="V64" s="243"/>
      <c r="W64" s="243"/>
      <c r="X64" s="243"/>
      <c r="Y64" s="243"/>
      <c r="Z64" s="243"/>
      <c r="AA64" s="243"/>
      <c r="AB64" s="243"/>
      <c r="AC64" s="243"/>
      <c r="AD64" s="243"/>
      <c r="AE64" s="243"/>
      <c r="AF64" s="243"/>
    </row>
    <row r="65" spans="2:37" s="28" customFormat="1" ht="19.649999999999999" customHeight="1" x14ac:dyDescent="0.3">
      <c r="B65" s="231"/>
      <c r="C65" s="232"/>
      <c r="D65" s="233"/>
      <c r="E65" s="263"/>
      <c r="F65" s="233"/>
      <c r="G65" s="234"/>
      <c r="H65" s="242"/>
      <c r="I65" s="242"/>
      <c r="J65" s="242"/>
      <c r="K65" s="235"/>
      <c r="M65" s="243"/>
      <c r="N65" s="243"/>
      <c r="O65" s="243"/>
      <c r="P65" s="243"/>
      <c r="Q65" s="243"/>
      <c r="R65" s="243"/>
      <c r="S65" s="243"/>
      <c r="T65" s="243"/>
      <c r="U65" s="243"/>
      <c r="V65" s="243"/>
      <c r="W65" s="243"/>
      <c r="X65" s="243"/>
      <c r="Y65" s="243"/>
      <c r="Z65" s="243"/>
      <c r="AA65" s="243"/>
      <c r="AB65" s="243"/>
      <c r="AC65" s="243"/>
      <c r="AD65" s="243"/>
      <c r="AE65" s="243"/>
      <c r="AF65" s="243"/>
    </row>
    <row r="66" spans="2:37" s="28" customFormat="1" ht="19.649999999999999" customHeight="1" x14ac:dyDescent="0.3">
      <c r="B66" s="238">
        <v>14</v>
      </c>
      <c r="C66" s="240" t="s">
        <v>150</v>
      </c>
      <c r="D66" s="233">
        <v>10</v>
      </c>
      <c r="E66" s="316">
        <f>+$AC$15</f>
        <v>0</v>
      </c>
      <c r="F66" s="233">
        <v>2</v>
      </c>
      <c r="G66" s="242">
        <f>2+0.67</f>
        <v>2.67</v>
      </c>
      <c r="H66" s="242">
        <f>+G66*F66*E66</f>
        <v>0</v>
      </c>
      <c r="I66" s="242">
        <f>+IF(D66=8,H66,0)</f>
        <v>0</v>
      </c>
      <c r="J66" s="242">
        <f>+IF(D66=10,H66,0)</f>
        <v>0</v>
      </c>
      <c r="K66" s="235"/>
      <c r="M66" s="243"/>
      <c r="N66" s="243"/>
      <c r="O66" s="243"/>
      <c r="P66" s="243"/>
      <c r="Q66" s="243"/>
      <c r="R66" s="243"/>
      <c r="S66" s="243"/>
      <c r="T66" s="243"/>
      <c r="U66" s="243"/>
      <c r="V66" s="243"/>
      <c r="W66" s="243"/>
      <c r="X66" s="243"/>
      <c r="Y66" s="243"/>
      <c r="Z66" s="243"/>
      <c r="AA66" s="243"/>
      <c r="AB66" s="243"/>
      <c r="AC66" s="243"/>
      <c r="AD66" s="243"/>
      <c r="AE66" s="243"/>
      <c r="AF66" s="243"/>
    </row>
    <row r="67" spans="2:37" s="28" customFormat="1" ht="19.649999999999999" customHeight="1" x14ac:dyDescent="0.3">
      <c r="B67" s="238"/>
      <c r="C67" s="232" t="s">
        <v>144</v>
      </c>
      <c r="D67" s="233">
        <v>8</v>
      </c>
      <c r="E67" s="233">
        <f>+E66</f>
        <v>0</v>
      </c>
      <c r="F67" s="233">
        <v>2</v>
      </c>
      <c r="G67" s="242">
        <f>G66</f>
        <v>2.67</v>
      </c>
      <c r="H67" s="242">
        <f>+G67*F67*E67</f>
        <v>0</v>
      </c>
      <c r="I67" s="242">
        <f>+IF(D67=8,H67,0)</f>
        <v>0</v>
      </c>
      <c r="J67" s="242">
        <f>+IF(D67=10,H67,0)</f>
        <v>0</v>
      </c>
      <c r="K67" s="235"/>
      <c r="M67" s="243"/>
      <c r="N67" s="243"/>
      <c r="O67" s="243"/>
      <c r="P67" s="243"/>
      <c r="Q67" s="243"/>
      <c r="R67" s="243"/>
      <c r="S67" s="243"/>
      <c r="T67" s="243"/>
      <c r="U67" s="243"/>
      <c r="V67" s="243"/>
      <c r="W67" s="243"/>
      <c r="X67" s="243"/>
      <c r="Y67" s="243"/>
      <c r="Z67" s="243"/>
      <c r="AA67" s="243"/>
      <c r="AB67" s="243"/>
      <c r="AC67" s="243"/>
      <c r="AD67" s="243"/>
      <c r="AE67" s="243"/>
      <c r="AF67" s="243"/>
    </row>
    <row r="68" spans="2:37" s="28" customFormat="1" ht="19.649999999999999" customHeight="1" x14ac:dyDescent="0.3">
      <c r="B68" s="238"/>
      <c r="C68" s="232" t="s">
        <v>145</v>
      </c>
      <c r="D68" s="233">
        <v>8</v>
      </c>
      <c r="E68" s="233">
        <f>+E67</f>
        <v>0</v>
      </c>
      <c r="F68" s="233">
        <f>+ROUND(G66/0.5,0)+1</f>
        <v>6</v>
      </c>
      <c r="G68" s="234">
        <f>(0.666+0.666+0.5+0.5+0.25)-8*0.083</f>
        <v>1.9179999999999997</v>
      </c>
      <c r="H68" s="242">
        <f>+G68*F68*E68</f>
        <v>0</v>
      </c>
      <c r="I68" s="242">
        <f>+IF(D68=8,H68,0)</f>
        <v>0</v>
      </c>
      <c r="J68" s="242">
        <f>+IF(D68=10,H68,0)</f>
        <v>0</v>
      </c>
      <c r="K68" s="235"/>
      <c r="M68" s="243"/>
      <c r="N68" s="243"/>
      <c r="O68" s="243"/>
      <c r="P68" s="243"/>
      <c r="Q68" s="243"/>
      <c r="R68" s="243"/>
      <c r="S68" s="243"/>
      <c r="T68" s="243"/>
      <c r="U68" s="88"/>
      <c r="V68" s="88"/>
      <c r="W68" s="88"/>
      <c r="X68" s="88"/>
      <c r="Y68" s="88"/>
      <c r="Z68" s="88"/>
      <c r="AA68" s="88"/>
      <c r="AB68" s="88"/>
      <c r="AC68" s="88"/>
      <c r="AD68" s="88"/>
      <c r="AE68" s="88"/>
      <c r="AF68" s="88"/>
    </row>
    <row r="69" spans="2:37" s="28" customFormat="1" ht="19.649999999999999" customHeight="1" x14ac:dyDescent="0.3">
      <c r="B69" s="238"/>
      <c r="C69" s="232"/>
      <c r="D69" s="233"/>
      <c r="E69" s="233"/>
      <c r="F69" s="233"/>
      <c r="G69" s="234"/>
      <c r="H69" s="242"/>
      <c r="I69" s="242"/>
      <c r="J69" s="242"/>
      <c r="K69" s="235"/>
      <c r="M69" s="243"/>
      <c r="N69" s="243"/>
      <c r="O69" s="243"/>
      <c r="P69" s="243"/>
      <c r="Q69" s="243"/>
      <c r="R69" s="243"/>
      <c r="S69" s="243"/>
      <c r="T69" s="243"/>
      <c r="U69" s="88"/>
      <c r="V69" s="88"/>
      <c r="W69" s="88"/>
      <c r="X69" s="88"/>
      <c r="Y69" s="88"/>
      <c r="Z69" s="88"/>
      <c r="AA69" s="88"/>
      <c r="AB69" s="88"/>
      <c r="AC69" s="88"/>
      <c r="AD69" s="88"/>
      <c r="AE69" s="88"/>
      <c r="AF69" s="88"/>
    </row>
    <row r="70" spans="2:37" s="28" customFormat="1" ht="19.649999999999999" customHeight="1" x14ac:dyDescent="0.3">
      <c r="B70" s="238">
        <v>14</v>
      </c>
      <c r="C70" s="240" t="s">
        <v>151</v>
      </c>
      <c r="D70" s="233">
        <v>10</v>
      </c>
      <c r="E70" s="316">
        <f>+$AD$15</f>
        <v>0</v>
      </c>
      <c r="F70" s="233">
        <v>2</v>
      </c>
      <c r="G70" s="242">
        <f>2+0.67</f>
        <v>2.67</v>
      </c>
      <c r="H70" s="242">
        <f>+G70*F70*E70</f>
        <v>0</v>
      </c>
      <c r="I70" s="242">
        <f>+IF(D70=8,H70,0)</f>
        <v>0</v>
      </c>
      <c r="J70" s="242">
        <f>+IF(D70=10,H70,0)</f>
        <v>0</v>
      </c>
      <c r="K70" s="235"/>
      <c r="M70" s="243"/>
      <c r="N70" s="243"/>
      <c r="O70" s="243"/>
      <c r="P70" s="243"/>
      <c r="Q70" s="243"/>
      <c r="R70" s="243"/>
      <c r="S70" s="243"/>
      <c r="T70" s="243"/>
      <c r="U70" s="243"/>
      <c r="V70" s="243"/>
      <c r="W70" s="243"/>
      <c r="X70" s="243"/>
      <c r="Y70" s="243"/>
      <c r="Z70" s="243"/>
      <c r="AA70" s="243"/>
      <c r="AB70" s="243"/>
      <c r="AC70" s="243"/>
      <c r="AD70" s="243"/>
      <c r="AE70" s="243"/>
      <c r="AF70" s="243"/>
    </row>
    <row r="71" spans="2:37" s="28" customFormat="1" ht="19.649999999999999" customHeight="1" x14ac:dyDescent="0.3">
      <c r="B71" s="238"/>
      <c r="C71" s="232" t="s">
        <v>144</v>
      </c>
      <c r="D71" s="233">
        <v>8</v>
      </c>
      <c r="E71" s="233">
        <f>+E70</f>
        <v>0</v>
      </c>
      <c r="F71" s="233">
        <v>2</v>
      </c>
      <c r="G71" s="242">
        <f>G70</f>
        <v>2.67</v>
      </c>
      <c r="H71" s="242">
        <f>+G71*F71*E71</f>
        <v>0</v>
      </c>
      <c r="I71" s="242">
        <f>+IF(D71=8,H71,0)</f>
        <v>0</v>
      </c>
      <c r="J71" s="242">
        <f>+IF(D71=10,H71,0)</f>
        <v>0</v>
      </c>
      <c r="K71" s="235"/>
      <c r="M71" s="243"/>
      <c r="N71" s="243"/>
      <c r="O71" s="243"/>
      <c r="P71" s="243"/>
      <c r="Q71" s="243"/>
      <c r="R71" s="243"/>
      <c r="S71" s="243"/>
      <c r="T71" s="243"/>
      <c r="U71" s="243"/>
      <c r="V71" s="243"/>
      <c r="W71" s="243"/>
      <c r="X71" s="243"/>
      <c r="Y71" s="243"/>
      <c r="Z71" s="243"/>
      <c r="AA71" s="243"/>
      <c r="AB71" s="243"/>
      <c r="AC71" s="243"/>
      <c r="AD71" s="243"/>
      <c r="AE71" s="243"/>
      <c r="AF71" s="243"/>
    </row>
    <row r="72" spans="2:37" s="28" customFormat="1" ht="19.649999999999999" customHeight="1" x14ac:dyDescent="0.3">
      <c r="B72" s="238"/>
      <c r="C72" s="232" t="s">
        <v>145</v>
      </c>
      <c r="D72" s="233">
        <v>8</v>
      </c>
      <c r="E72" s="233">
        <f>+E71</f>
        <v>0</v>
      </c>
      <c r="F72" s="233">
        <f>+ROUND(G70/0.5,0)+1</f>
        <v>6</v>
      </c>
      <c r="G72" s="234">
        <f>(0.666+0.666+0.5+0.5+0.25)-8*0.083</f>
        <v>1.9179999999999997</v>
      </c>
      <c r="H72" s="242">
        <f>+G72*F72*E72</f>
        <v>0</v>
      </c>
      <c r="I72" s="242">
        <f>+IF(D72=8,H72,0)</f>
        <v>0</v>
      </c>
      <c r="J72" s="242">
        <f>+IF(D72=10,H72,0)</f>
        <v>0</v>
      </c>
      <c r="K72" s="235"/>
      <c r="M72" s="243"/>
      <c r="N72" s="243"/>
      <c r="O72" s="243"/>
      <c r="P72" s="243"/>
      <c r="Q72" s="243"/>
      <c r="R72" s="243"/>
      <c r="S72" s="243"/>
      <c r="T72" s="243"/>
      <c r="U72" s="88"/>
      <c r="V72" s="88"/>
      <c r="W72" s="88"/>
      <c r="X72" s="88"/>
      <c r="Y72" s="88"/>
      <c r="Z72" s="88"/>
      <c r="AA72" s="88"/>
      <c r="AB72" s="88"/>
      <c r="AC72" s="88"/>
      <c r="AD72" s="88"/>
      <c r="AE72" s="88"/>
      <c r="AF72" s="88"/>
    </row>
    <row r="73" spans="2:37" s="28" customFormat="1" ht="19.649999999999999" customHeight="1" x14ac:dyDescent="0.3">
      <c r="B73" s="238"/>
      <c r="C73" s="232"/>
      <c r="D73" s="233"/>
      <c r="E73" s="233"/>
      <c r="F73" s="233"/>
      <c r="G73" s="234"/>
      <c r="H73" s="242"/>
      <c r="I73" s="242"/>
      <c r="J73" s="242"/>
      <c r="K73" s="235"/>
      <c r="M73" s="243"/>
      <c r="N73" s="243"/>
      <c r="O73" s="243"/>
      <c r="P73" s="243"/>
      <c r="Q73" s="243"/>
      <c r="R73" s="243"/>
      <c r="S73" s="243"/>
      <c r="T73" s="243"/>
      <c r="U73" s="88"/>
      <c r="V73" s="88"/>
      <c r="W73" s="88"/>
      <c r="X73" s="88"/>
      <c r="Y73" s="88"/>
      <c r="Z73" s="88"/>
      <c r="AA73" s="88"/>
      <c r="AB73" s="88"/>
      <c r="AC73" s="88"/>
      <c r="AD73" s="88"/>
      <c r="AE73" s="88"/>
      <c r="AF73" s="88"/>
    </row>
    <row r="74" spans="2:37" s="28" customFormat="1" ht="19.649999999999999" customHeight="1" x14ac:dyDescent="0.3">
      <c r="B74" s="238">
        <v>14</v>
      </c>
      <c r="C74" s="240" t="s">
        <v>269</v>
      </c>
      <c r="D74" s="233">
        <v>10</v>
      </c>
      <c r="E74" s="316">
        <f>+$AE$15</f>
        <v>0</v>
      </c>
      <c r="F74" s="233">
        <v>2</v>
      </c>
      <c r="G74" s="242">
        <f>1.5+0.67</f>
        <v>2.17</v>
      </c>
      <c r="H74" s="242">
        <f>+G74*F74*E74</f>
        <v>0</v>
      </c>
      <c r="I74" s="242">
        <f>+IF(D74=8,H74,0)</f>
        <v>0</v>
      </c>
      <c r="J74" s="242">
        <f>+IF(D74=10,H74,0)</f>
        <v>0</v>
      </c>
      <c r="K74" s="235"/>
      <c r="M74" s="243"/>
      <c r="N74" s="243"/>
      <c r="O74" s="243"/>
      <c r="P74" s="243"/>
      <c r="Q74" s="243"/>
      <c r="R74" s="243"/>
      <c r="S74" s="243"/>
      <c r="T74" s="243"/>
      <c r="U74" s="243"/>
      <c r="V74" s="243"/>
      <c r="W74" s="243"/>
      <c r="X74" s="243"/>
      <c r="Y74" s="243"/>
      <c r="Z74" s="243"/>
      <c r="AA74" s="243"/>
      <c r="AB74" s="243"/>
      <c r="AC74" s="243"/>
      <c r="AD74" s="243"/>
      <c r="AE74" s="243"/>
      <c r="AF74" s="243"/>
    </row>
    <row r="75" spans="2:37" s="28" customFormat="1" ht="19.649999999999999" customHeight="1" x14ac:dyDescent="0.3">
      <c r="B75" s="238"/>
      <c r="C75" s="232" t="s">
        <v>144</v>
      </c>
      <c r="D75" s="233">
        <v>8</v>
      </c>
      <c r="E75" s="233">
        <f>+E74</f>
        <v>0</v>
      </c>
      <c r="F75" s="233">
        <v>2</v>
      </c>
      <c r="G75" s="242">
        <f>G74</f>
        <v>2.17</v>
      </c>
      <c r="H75" s="242">
        <f>+G75*F75*E75</f>
        <v>0</v>
      </c>
      <c r="I75" s="242">
        <f>+IF(D75=8,H75,0)</f>
        <v>0</v>
      </c>
      <c r="J75" s="242">
        <f>+IF(D75=10,H75,0)</f>
        <v>0</v>
      </c>
      <c r="K75" s="235"/>
      <c r="M75" s="243"/>
      <c r="N75" s="243"/>
      <c r="O75" s="243"/>
      <c r="P75" s="243"/>
      <c r="Q75" s="243"/>
      <c r="R75" s="243"/>
      <c r="S75" s="243"/>
      <c r="T75" s="243"/>
      <c r="U75" s="243"/>
      <c r="V75" s="243"/>
      <c r="W75" s="243"/>
      <c r="X75" s="243"/>
      <c r="Y75" s="243"/>
      <c r="Z75" s="243"/>
      <c r="AA75" s="243"/>
      <c r="AB75" s="243"/>
      <c r="AC75" s="243"/>
      <c r="AD75" s="243"/>
      <c r="AE75" s="243"/>
      <c r="AF75" s="243"/>
    </row>
    <row r="76" spans="2:37" s="28" customFormat="1" ht="19.649999999999999" customHeight="1" x14ac:dyDescent="0.3">
      <c r="B76" s="238"/>
      <c r="C76" s="232" t="s">
        <v>145</v>
      </c>
      <c r="D76" s="233">
        <v>8</v>
      </c>
      <c r="E76" s="233">
        <f>+E75</f>
        <v>0</v>
      </c>
      <c r="F76" s="233">
        <f>+ROUND(G74/0.5,0)+1</f>
        <v>5</v>
      </c>
      <c r="G76" s="234">
        <f>(0.666+0.666+0.5+0.5+0.25)-8*0.083</f>
        <v>1.9179999999999997</v>
      </c>
      <c r="H76" s="242">
        <f>+G76*F76*E76</f>
        <v>0</v>
      </c>
      <c r="I76" s="242">
        <f>+IF(D76=8,H76,0)</f>
        <v>0</v>
      </c>
      <c r="J76" s="242">
        <f>+IF(D76=10,H76,0)</f>
        <v>0</v>
      </c>
      <c r="K76" s="235"/>
      <c r="M76" s="243"/>
      <c r="N76" s="243"/>
      <c r="O76" s="243"/>
      <c r="P76" s="243"/>
      <c r="Q76" s="243"/>
      <c r="R76" s="243"/>
      <c r="S76" s="243"/>
      <c r="T76" s="243"/>
      <c r="U76" s="88"/>
      <c r="V76" s="88"/>
      <c r="W76" s="88"/>
      <c r="X76" s="88"/>
      <c r="Y76" s="88"/>
      <c r="Z76" s="88"/>
      <c r="AA76" s="88"/>
      <c r="AB76" s="88"/>
      <c r="AC76" s="88"/>
      <c r="AD76" s="88"/>
      <c r="AE76" s="88"/>
      <c r="AF76" s="88"/>
    </row>
    <row r="77" spans="2:37" s="28" customFormat="1" ht="19.649999999999999" customHeight="1" x14ac:dyDescent="0.3">
      <c r="B77" s="238"/>
      <c r="C77" s="232"/>
      <c r="D77" s="233"/>
      <c r="E77" s="233"/>
      <c r="F77" s="233"/>
      <c r="G77" s="234"/>
      <c r="H77" s="242"/>
      <c r="I77" s="242"/>
      <c r="J77" s="242"/>
      <c r="K77" s="235"/>
      <c r="M77" s="243"/>
      <c r="N77" s="243"/>
      <c r="O77" s="243"/>
      <c r="P77" s="243"/>
      <c r="Q77" s="243"/>
      <c r="R77" s="243"/>
      <c r="S77" s="243"/>
      <c r="T77" s="243"/>
      <c r="U77" s="88"/>
      <c r="V77" s="88"/>
      <c r="W77" s="88"/>
      <c r="X77" s="88"/>
      <c r="Y77" s="88"/>
      <c r="Z77" s="88"/>
      <c r="AA77" s="88"/>
      <c r="AB77" s="88"/>
      <c r="AC77" s="88"/>
      <c r="AD77" s="88"/>
      <c r="AE77" s="88"/>
      <c r="AF77" s="88"/>
    </row>
    <row r="78" spans="2:37" s="28" customFormat="1" ht="19.649999999999999" customHeight="1" x14ac:dyDescent="0.3">
      <c r="B78" s="231">
        <v>16</v>
      </c>
      <c r="C78" s="240" t="s">
        <v>270</v>
      </c>
      <c r="D78" s="233">
        <v>10</v>
      </c>
      <c r="E78" s="316">
        <f>+$AF$15</f>
        <v>0</v>
      </c>
      <c r="F78" s="233">
        <v>2</v>
      </c>
      <c r="G78" s="234">
        <f>5+0.67</f>
        <v>5.67</v>
      </c>
      <c r="H78" s="234">
        <f>+G78*F78*E78</f>
        <v>0</v>
      </c>
      <c r="I78" s="234">
        <f>+IF(D78=8,H78,0)</f>
        <v>0</v>
      </c>
      <c r="J78" s="234">
        <f>+IF(D78=10,H78,0)</f>
        <v>0</v>
      </c>
      <c r="K78" s="235"/>
      <c r="M78" s="243"/>
      <c r="N78" s="243"/>
      <c r="O78" s="243"/>
      <c r="P78" s="243"/>
      <c r="Q78" s="243"/>
      <c r="R78" s="243"/>
      <c r="S78" s="243"/>
      <c r="T78" s="243"/>
      <c r="U78" s="243"/>
      <c r="V78" s="243"/>
      <c r="W78" s="243"/>
      <c r="X78" s="243"/>
      <c r="Y78" s="243"/>
      <c r="Z78" s="243"/>
      <c r="AA78" s="243"/>
      <c r="AB78" s="243"/>
      <c r="AC78" s="243"/>
      <c r="AD78" s="243"/>
      <c r="AE78" s="243"/>
      <c r="AF78" s="243"/>
    </row>
    <row r="79" spans="2:37" s="28" customFormat="1" ht="19.649999999999999" customHeight="1" x14ac:dyDescent="0.3">
      <c r="B79" s="231"/>
      <c r="C79" s="232" t="s">
        <v>144</v>
      </c>
      <c r="D79" s="233">
        <v>8</v>
      </c>
      <c r="E79" s="233">
        <f>+E78</f>
        <v>0</v>
      </c>
      <c r="F79" s="233">
        <v>2</v>
      </c>
      <c r="G79" s="234">
        <f>G78</f>
        <v>5.67</v>
      </c>
      <c r="H79" s="234">
        <f>+G79*F79*E79</f>
        <v>0</v>
      </c>
      <c r="I79" s="234">
        <f>+IF(D79=8,H79,0)</f>
        <v>0</v>
      </c>
      <c r="J79" s="234">
        <f>+IF(D79=10,H79,0)</f>
        <v>0</v>
      </c>
      <c r="K79" s="235"/>
      <c r="AK79" s="243"/>
    </row>
    <row r="80" spans="2:37" s="28" customFormat="1" ht="19.649999999999999" customHeight="1" x14ac:dyDescent="0.3">
      <c r="B80" s="231"/>
      <c r="C80" s="232" t="s">
        <v>145</v>
      </c>
      <c r="D80" s="233">
        <v>8</v>
      </c>
      <c r="E80" s="233">
        <f>+E79</f>
        <v>0</v>
      </c>
      <c r="F80" s="233">
        <f>+ROUND(G78/0.5,0)+1</f>
        <v>12</v>
      </c>
      <c r="G80" s="234">
        <f>(0.666+0.666+0.5+0.5+0.25)-8*0.083</f>
        <v>1.9179999999999997</v>
      </c>
      <c r="H80" s="234">
        <f>+G80*F80*E80</f>
        <v>0</v>
      </c>
      <c r="I80" s="234">
        <f>+IF(D80=8,H80,0)</f>
        <v>0</v>
      </c>
      <c r="J80" s="234">
        <f>+IF(D80=10,H80,0)</f>
        <v>0</v>
      </c>
      <c r="K80" s="235"/>
      <c r="M80" s="243"/>
    </row>
    <row r="81" spans="1:37" s="28" customFormat="1" ht="19.649999999999999" customHeight="1" x14ac:dyDescent="0.3">
      <c r="B81" s="231"/>
      <c r="C81" s="232"/>
      <c r="D81" s="233"/>
      <c r="E81" s="233"/>
      <c r="F81" s="233"/>
      <c r="G81" s="234"/>
      <c r="H81" s="234"/>
      <c r="I81" s="234"/>
      <c r="J81" s="234"/>
      <c r="K81" s="235"/>
      <c r="M81" s="243"/>
    </row>
    <row r="82" spans="1:37" s="28" customFormat="1" ht="19.649999999999999" customHeight="1" x14ac:dyDescent="0.3">
      <c r="B82" s="231">
        <v>19</v>
      </c>
      <c r="C82" s="240" t="s">
        <v>152</v>
      </c>
      <c r="D82" s="233">
        <v>10</v>
      </c>
      <c r="E82" s="316">
        <f>+$AH$15</f>
        <v>3</v>
      </c>
      <c r="F82" s="233">
        <v>2</v>
      </c>
      <c r="G82" s="234">
        <f>3+0.67</f>
        <v>3.67</v>
      </c>
      <c r="H82" s="234">
        <f>+G82*F82*E82</f>
        <v>22.02</v>
      </c>
      <c r="I82" s="234">
        <f>+IF(D82=8,H82,0)</f>
        <v>0</v>
      </c>
      <c r="J82" s="234">
        <f>+IF(D82=10,H82,0)</f>
        <v>22.02</v>
      </c>
      <c r="K82" s="235"/>
      <c r="M82" s="88"/>
      <c r="N82" s="88"/>
      <c r="O82" s="88"/>
      <c r="P82" s="88"/>
      <c r="Q82" s="88"/>
      <c r="R82" s="88"/>
      <c r="S82" s="88"/>
      <c r="T82" s="88"/>
      <c r="U82" s="243"/>
      <c r="V82" s="243"/>
      <c r="W82" s="243"/>
      <c r="X82" s="243"/>
      <c r="Y82" s="243"/>
      <c r="Z82" s="243"/>
      <c r="AA82" s="243"/>
      <c r="AB82" s="243"/>
      <c r="AC82" s="243"/>
      <c r="AD82" s="243"/>
      <c r="AE82" s="243"/>
      <c r="AF82" s="243"/>
    </row>
    <row r="83" spans="1:37" s="28" customFormat="1" ht="19.649999999999999" customHeight="1" x14ac:dyDescent="0.3">
      <c r="B83" s="231"/>
      <c r="C83" s="232" t="s">
        <v>144</v>
      </c>
      <c r="D83" s="233">
        <v>8</v>
      </c>
      <c r="E83" s="233">
        <f>+E82</f>
        <v>3</v>
      </c>
      <c r="F83" s="233">
        <v>2</v>
      </c>
      <c r="G83" s="234">
        <f>G82</f>
        <v>3.67</v>
      </c>
      <c r="H83" s="234">
        <f>+G83*F83*E83</f>
        <v>22.02</v>
      </c>
      <c r="I83" s="234">
        <f>+IF(D83=8,H83,0)</f>
        <v>22.02</v>
      </c>
      <c r="J83" s="234">
        <f>+IF(D83=10,H83,0)</f>
        <v>0</v>
      </c>
      <c r="K83" s="235"/>
      <c r="M83" s="88"/>
      <c r="N83" s="88"/>
      <c r="O83" s="88"/>
      <c r="P83" s="88"/>
      <c r="Q83" s="88"/>
      <c r="R83" s="88"/>
      <c r="S83" s="88"/>
      <c r="T83" s="88"/>
      <c r="U83" s="243"/>
      <c r="V83" s="243"/>
      <c r="W83" s="243"/>
      <c r="X83" s="243"/>
      <c r="Y83" s="243"/>
      <c r="Z83" s="243"/>
      <c r="AA83" s="243"/>
      <c r="AB83" s="243"/>
      <c r="AC83" s="243"/>
      <c r="AD83" s="243"/>
      <c r="AE83" s="243"/>
      <c r="AF83" s="243"/>
    </row>
    <row r="84" spans="1:37" s="28" customFormat="1" ht="19.649999999999999" customHeight="1" x14ac:dyDescent="0.3">
      <c r="B84" s="231"/>
      <c r="C84" s="232" t="s">
        <v>145</v>
      </c>
      <c r="D84" s="233">
        <v>8</v>
      </c>
      <c r="E84" s="233">
        <f>+E83</f>
        <v>3</v>
      </c>
      <c r="F84" s="233">
        <f>+ROUND(G82/0.5,0)+1</f>
        <v>8</v>
      </c>
      <c r="G84" s="234">
        <f>(0.333+0.333+0.5+0.5+0.25)-8*0.083</f>
        <v>1.2519999999999998</v>
      </c>
      <c r="H84" s="234">
        <f>+G84*F84*E84</f>
        <v>30.047999999999995</v>
      </c>
      <c r="I84" s="234">
        <f>+IF(D84=8,H84,0)</f>
        <v>30.047999999999995</v>
      </c>
      <c r="J84" s="234">
        <f>+IF(D84=10,H84,0)</f>
        <v>0</v>
      </c>
      <c r="K84" s="235"/>
      <c r="M84" s="88"/>
      <c r="N84" s="88"/>
      <c r="O84" s="88"/>
      <c r="P84" s="88"/>
      <c r="Q84" s="88"/>
      <c r="R84" s="88"/>
      <c r="S84" s="88"/>
      <c r="T84" s="88"/>
      <c r="U84" s="243"/>
      <c r="V84" s="243"/>
      <c r="W84" s="243"/>
      <c r="X84" s="243"/>
      <c r="Y84" s="243"/>
      <c r="Z84" s="243"/>
      <c r="AA84" s="243"/>
      <c r="AB84" s="243"/>
      <c r="AC84" s="243"/>
      <c r="AD84" s="243"/>
      <c r="AE84" s="243"/>
      <c r="AF84" s="243"/>
    </row>
    <row r="85" spans="1:37" s="28" customFormat="1" ht="19.649999999999999" customHeight="1" x14ac:dyDescent="0.3">
      <c r="B85" s="231"/>
      <c r="C85" s="232"/>
      <c r="D85" s="233"/>
      <c r="E85" s="233"/>
      <c r="F85" s="233"/>
      <c r="G85" s="234"/>
      <c r="H85" s="234"/>
      <c r="I85" s="234"/>
      <c r="J85" s="234"/>
      <c r="K85" s="235"/>
      <c r="M85" s="88"/>
      <c r="N85" s="88"/>
      <c r="O85" s="88"/>
      <c r="P85" s="243"/>
      <c r="Q85" s="243"/>
      <c r="R85" s="243"/>
      <c r="S85" s="243"/>
      <c r="T85" s="243"/>
      <c r="U85" s="243"/>
      <c r="V85" s="243"/>
      <c r="W85" s="243"/>
      <c r="X85" s="243"/>
    </row>
    <row r="86" spans="1:37" s="28" customFormat="1" ht="19.649999999999999" customHeight="1" x14ac:dyDescent="0.3">
      <c r="B86" s="231">
        <v>20</v>
      </c>
      <c r="C86" s="240" t="s">
        <v>153</v>
      </c>
      <c r="D86" s="233">
        <v>10</v>
      </c>
      <c r="E86" s="316">
        <f>+$AJ$15</f>
        <v>0</v>
      </c>
      <c r="F86" s="233">
        <v>2</v>
      </c>
      <c r="G86" s="234">
        <f>3+0.67</f>
        <v>3.67</v>
      </c>
      <c r="H86" s="234">
        <f>+G86*F86*E86</f>
        <v>0</v>
      </c>
      <c r="I86" s="234">
        <f>+IF(D86=8,H86,0)</f>
        <v>0</v>
      </c>
      <c r="J86" s="234">
        <f>+IF(D86=10,H86,0)</f>
        <v>0</v>
      </c>
      <c r="K86" s="235"/>
      <c r="M86" s="88"/>
      <c r="N86" s="88"/>
      <c r="O86" s="88"/>
      <c r="P86" s="243"/>
      <c r="Q86" s="243"/>
      <c r="R86" s="243"/>
      <c r="S86" s="243"/>
      <c r="T86" s="243"/>
      <c r="U86" s="243"/>
      <c r="V86" s="243"/>
      <c r="W86" s="243"/>
      <c r="X86" s="243"/>
    </row>
    <row r="87" spans="1:37" s="28" customFormat="1" ht="19.649999999999999" customHeight="1" x14ac:dyDescent="0.3">
      <c r="B87" s="231"/>
      <c r="C87" s="232" t="s">
        <v>144</v>
      </c>
      <c r="D87" s="233">
        <v>8</v>
      </c>
      <c r="E87" s="233">
        <f>+E86</f>
        <v>0</v>
      </c>
      <c r="F87" s="233">
        <v>2</v>
      </c>
      <c r="G87" s="234">
        <f>G86</f>
        <v>3.67</v>
      </c>
      <c r="H87" s="234">
        <f>+G87*F87*E87</f>
        <v>0</v>
      </c>
      <c r="I87" s="234">
        <f>+IF(D87=8,H87,0)</f>
        <v>0</v>
      </c>
      <c r="J87" s="234">
        <f>+IF(D87=10,H87,0)</f>
        <v>0</v>
      </c>
      <c r="K87" s="235"/>
      <c r="M87" s="88"/>
      <c r="N87" s="88"/>
      <c r="O87" s="88"/>
      <c r="P87" s="88"/>
      <c r="Q87" s="88"/>
      <c r="R87" s="88"/>
      <c r="S87" s="88"/>
      <c r="T87" s="88"/>
      <c r="U87" s="88"/>
      <c r="V87" s="88"/>
      <c r="W87" s="88"/>
      <c r="X87" s="88"/>
    </row>
    <row r="88" spans="1:37" s="28" customFormat="1" ht="20.25" customHeight="1" x14ac:dyDescent="0.3">
      <c r="B88" s="231"/>
      <c r="C88" s="232" t="s">
        <v>145</v>
      </c>
      <c r="D88" s="233">
        <v>8</v>
      </c>
      <c r="E88" s="233">
        <f>+E87</f>
        <v>0</v>
      </c>
      <c r="F88" s="233">
        <f>+ROUND(G86/0.5,0)+1</f>
        <v>8</v>
      </c>
      <c r="G88" s="234">
        <f>(0.333+0.333+0.5+0.5+0.25)-8*0.083</f>
        <v>1.2519999999999998</v>
      </c>
      <c r="H88" s="234">
        <f>+G88*F88*E88</f>
        <v>0</v>
      </c>
      <c r="I88" s="234">
        <f>+IF(D88=8,H88,0)</f>
        <v>0</v>
      </c>
      <c r="J88" s="234">
        <f>+IF(D88=10,H88,0)</f>
        <v>0</v>
      </c>
      <c r="K88" s="235"/>
      <c r="M88" s="259"/>
      <c r="N88" s="259"/>
      <c r="O88" s="259"/>
      <c r="P88" s="259"/>
      <c r="Q88" s="259"/>
      <c r="R88" s="259"/>
      <c r="S88" s="259"/>
      <c r="T88" s="259"/>
      <c r="U88" s="260"/>
      <c r="V88" s="260"/>
      <c r="W88" s="260"/>
      <c r="X88" s="260"/>
      <c r="Y88" s="260"/>
      <c r="Z88" s="260"/>
      <c r="AA88" s="260"/>
      <c r="AB88" s="260"/>
      <c r="AC88" s="260"/>
      <c r="AD88" s="260"/>
      <c r="AE88" s="260"/>
      <c r="AF88" s="260"/>
      <c r="AG88" s="261"/>
      <c r="AH88" s="261"/>
      <c r="AI88" s="261"/>
      <c r="AJ88" s="261"/>
    </row>
    <row r="89" spans="1:37" s="28" customFormat="1" ht="19.649999999999999" customHeight="1" x14ac:dyDescent="0.3">
      <c r="B89" s="231"/>
      <c r="C89" s="232"/>
      <c r="D89" s="233"/>
      <c r="E89" s="233"/>
      <c r="F89" s="233"/>
      <c r="G89" s="234"/>
      <c r="H89" s="234"/>
      <c r="I89" s="234"/>
      <c r="J89" s="234"/>
      <c r="K89" s="235"/>
      <c r="M89" s="243"/>
    </row>
    <row r="90" spans="1:37" s="28" customFormat="1" ht="19.649999999999999" customHeight="1" x14ac:dyDescent="0.3">
      <c r="B90" s="231"/>
      <c r="C90" s="232"/>
      <c r="D90" s="233"/>
      <c r="E90" s="233"/>
      <c r="F90" s="233"/>
      <c r="G90" s="234"/>
      <c r="H90" s="234"/>
      <c r="I90" s="234"/>
      <c r="J90" s="234"/>
      <c r="K90" s="235"/>
      <c r="M90" s="259"/>
      <c r="N90" s="259"/>
      <c r="O90" s="259"/>
      <c r="P90" s="259"/>
      <c r="Q90" s="259"/>
      <c r="R90" s="259"/>
      <c r="S90" s="259"/>
      <c r="T90" s="259"/>
      <c r="U90" s="260"/>
      <c r="V90" s="260"/>
      <c r="W90" s="260"/>
      <c r="X90" s="260"/>
      <c r="Y90" s="260"/>
      <c r="Z90" s="260"/>
      <c r="AA90" s="260"/>
      <c r="AB90" s="260"/>
      <c r="AC90" s="260"/>
      <c r="AD90" s="260"/>
      <c r="AE90" s="260"/>
      <c r="AF90" s="260"/>
      <c r="AG90" s="261"/>
      <c r="AH90" s="261"/>
      <c r="AI90" s="261"/>
      <c r="AJ90" s="261"/>
    </row>
    <row r="91" spans="1:37" s="28" customFormat="1" ht="19.649999999999999" customHeight="1" x14ac:dyDescent="0.3">
      <c r="B91" s="231"/>
      <c r="C91" s="240" t="s">
        <v>154</v>
      </c>
      <c r="D91" s="244"/>
      <c r="E91" s="244"/>
      <c r="F91" s="244"/>
      <c r="G91" s="245"/>
      <c r="H91" s="245"/>
      <c r="I91" s="245">
        <f>SUM(I6:I90)</f>
        <v>14715.746000000001</v>
      </c>
      <c r="J91" s="245">
        <f>SUM(J6:J90)</f>
        <v>5027.9800000000014</v>
      </c>
      <c r="K91" s="235"/>
      <c r="M91" s="259"/>
      <c r="N91" s="259"/>
      <c r="O91" s="259"/>
      <c r="P91" s="259"/>
      <c r="Q91" s="259"/>
      <c r="R91" s="259"/>
      <c r="S91" s="259"/>
      <c r="T91" s="259"/>
      <c r="U91" s="259"/>
      <c r="V91" s="259"/>
      <c r="W91" s="259"/>
      <c r="X91" s="259"/>
      <c r="Y91" s="259"/>
      <c r="Z91" s="259"/>
      <c r="AA91" s="259"/>
      <c r="AB91" s="259"/>
      <c r="AC91" s="259"/>
      <c r="AD91" s="259"/>
      <c r="AE91" s="259"/>
      <c r="AF91" s="259"/>
      <c r="AG91" s="262"/>
      <c r="AH91" s="262"/>
      <c r="AI91" s="262"/>
      <c r="AJ91" s="262"/>
    </row>
    <row r="92" spans="1:37" s="28" customFormat="1" x14ac:dyDescent="0.3">
      <c r="B92" s="231"/>
      <c r="C92" s="240" t="s">
        <v>155</v>
      </c>
      <c r="D92" s="244"/>
      <c r="E92" s="244"/>
      <c r="F92" s="244"/>
      <c r="G92" s="245"/>
      <c r="H92" s="245"/>
      <c r="I92" s="245">
        <f>0.3048*I91</f>
        <v>4485.3593808000005</v>
      </c>
      <c r="J92" s="245">
        <f>0.3048*J91</f>
        <v>1532.5283040000004</v>
      </c>
      <c r="K92" s="235"/>
      <c r="L92" s="88"/>
      <c r="M92" s="259"/>
      <c r="N92" s="259"/>
      <c r="O92" s="259"/>
      <c r="P92" s="259"/>
      <c r="Q92" s="259"/>
      <c r="R92" s="259"/>
      <c r="S92" s="259"/>
      <c r="T92" s="259"/>
      <c r="U92" s="259"/>
      <c r="V92" s="259"/>
      <c r="W92" s="259"/>
      <c r="X92" s="259"/>
      <c r="Y92" s="259"/>
      <c r="Z92" s="259"/>
      <c r="AA92" s="259"/>
      <c r="AB92" s="259"/>
      <c r="AC92" s="259"/>
      <c r="AD92" s="259"/>
      <c r="AE92" s="259"/>
      <c r="AF92" s="259"/>
      <c r="AG92" s="262"/>
      <c r="AH92" s="262"/>
      <c r="AI92" s="262"/>
      <c r="AJ92" s="262"/>
    </row>
    <row r="93" spans="1:37" s="28" customFormat="1" x14ac:dyDescent="0.3">
      <c r="B93" s="231"/>
      <c r="C93" s="232" t="s">
        <v>156</v>
      </c>
      <c r="D93" s="233"/>
      <c r="E93" s="233"/>
      <c r="F93" s="233"/>
      <c r="G93" s="242"/>
      <c r="H93" s="242"/>
      <c r="I93" s="242">
        <v>0.39500000000000002</v>
      </c>
      <c r="J93" s="242">
        <v>0.61699999999999999</v>
      </c>
      <c r="K93" s="235"/>
      <c r="L93" s="88"/>
      <c r="M93" s="259"/>
      <c r="N93" s="259"/>
      <c r="O93" s="259"/>
      <c r="P93" s="259"/>
      <c r="Q93" s="259"/>
      <c r="R93" s="259"/>
      <c r="S93" s="259"/>
      <c r="T93" s="259"/>
      <c r="U93" s="259"/>
      <c r="V93" s="259"/>
      <c r="W93" s="259"/>
      <c r="X93" s="259"/>
      <c r="Y93" s="259"/>
      <c r="Z93" s="259"/>
      <c r="AA93" s="259"/>
      <c r="AB93" s="259"/>
      <c r="AC93" s="259"/>
      <c r="AD93" s="259"/>
      <c r="AE93" s="259"/>
      <c r="AF93" s="259"/>
      <c r="AG93" s="262"/>
      <c r="AH93" s="262"/>
      <c r="AI93" s="262"/>
      <c r="AJ93" s="262"/>
    </row>
    <row r="94" spans="1:37" s="28" customFormat="1" x14ac:dyDescent="0.3">
      <c r="B94" s="248"/>
      <c r="C94" s="249" t="s">
        <v>157</v>
      </c>
      <c r="D94" s="250"/>
      <c r="E94" s="250"/>
      <c r="F94" s="250"/>
      <c r="G94" s="251"/>
      <c r="H94" s="251"/>
      <c r="I94" s="251">
        <f>+I93*I92</f>
        <v>1771.7169554160002</v>
      </c>
      <c r="J94" s="251">
        <f>+J93*J92</f>
        <v>945.56996356800028</v>
      </c>
      <c r="K94" s="264">
        <f>SUM(I94:J94)</f>
        <v>2717.2869189840003</v>
      </c>
      <c r="L94" s="88"/>
      <c r="M94" s="259"/>
      <c r="N94" s="259"/>
      <c r="O94" s="259"/>
      <c r="P94" s="259"/>
      <c r="Q94" s="259"/>
      <c r="R94" s="259"/>
      <c r="S94" s="259"/>
      <c r="T94" s="259"/>
      <c r="U94" s="259"/>
      <c r="V94" s="259"/>
      <c r="W94" s="259"/>
      <c r="X94" s="259"/>
      <c r="Y94" s="259"/>
      <c r="Z94" s="259"/>
      <c r="AA94" s="259"/>
      <c r="AB94" s="259"/>
      <c r="AC94" s="259"/>
      <c r="AD94" s="259"/>
      <c r="AE94" s="259"/>
      <c r="AF94" s="259"/>
      <c r="AG94" s="262"/>
      <c r="AH94" s="262"/>
      <c r="AI94" s="262"/>
      <c r="AJ94" s="262"/>
    </row>
    <row r="95" spans="1:37" x14ac:dyDescent="0.3">
      <c r="A95" s="257"/>
      <c r="B95" s="252"/>
      <c r="C95" s="253"/>
      <c r="D95" s="254"/>
      <c r="E95" s="254"/>
      <c r="F95" s="254"/>
      <c r="G95" s="255"/>
      <c r="H95" s="255"/>
      <c r="I95" s="255"/>
      <c r="J95" s="255"/>
      <c r="K95" s="256"/>
      <c r="M95" s="259"/>
      <c r="N95" s="259"/>
      <c r="O95" s="259"/>
      <c r="P95" s="259"/>
      <c r="Q95" s="259"/>
      <c r="R95" s="259"/>
      <c r="S95" s="259"/>
      <c r="T95" s="259"/>
      <c r="U95" s="259"/>
      <c r="V95" s="259"/>
      <c r="W95" s="259"/>
      <c r="X95" s="259"/>
      <c r="Y95" s="259"/>
      <c r="Z95" s="259"/>
      <c r="AA95" s="259"/>
      <c r="AB95" s="259"/>
      <c r="AC95" s="259"/>
      <c r="AD95" s="259"/>
      <c r="AE95" s="259"/>
      <c r="AF95" s="259"/>
      <c r="AG95" s="262"/>
      <c r="AH95" s="262"/>
      <c r="AI95" s="262"/>
      <c r="AJ95" s="262"/>
      <c r="AK95" s="261"/>
    </row>
    <row r="96" spans="1:37" x14ac:dyDescent="0.3">
      <c r="A96" s="257"/>
      <c r="C96" s="28"/>
      <c r="E96" s="86"/>
      <c r="F96" s="86"/>
      <c r="K96" s="28"/>
      <c r="U96" s="259"/>
      <c r="V96" s="259"/>
      <c r="W96" s="259"/>
      <c r="X96" s="259"/>
      <c r="Y96" s="259"/>
      <c r="Z96" s="259"/>
      <c r="AA96" s="259"/>
      <c r="AB96" s="259"/>
      <c r="AC96" s="259"/>
      <c r="AD96" s="259"/>
      <c r="AE96" s="259"/>
      <c r="AF96" s="259"/>
      <c r="AG96" s="262"/>
      <c r="AH96" s="262"/>
      <c r="AI96" s="262"/>
      <c r="AJ96" s="262"/>
      <c r="AK96" s="261"/>
    </row>
    <row r="97" spans="1:38" x14ac:dyDescent="0.3">
      <c r="A97" s="257"/>
      <c r="C97" s="28"/>
      <c r="E97" s="86"/>
      <c r="F97" s="86"/>
      <c r="K97" s="28"/>
      <c r="U97" s="259"/>
      <c r="V97" s="259"/>
      <c r="W97" s="259"/>
      <c r="X97" s="259"/>
      <c r="Y97" s="259"/>
      <c r="Z97" s="259"/>
      <c r="AA97" s="259"/>
      <c r="AB97" s="259"/>
      <c r="AC97" s="259"/>
      <c r="AD97" s="259"/>
      <c r="AE97" s="259"/>
      <c r="AF97" s="259"/>
      <c r="AG97" s="262"/>
      <c r="AH97" s="262"/>
      <c r="AI97" s="262"/>
      <c r="AJ97" s="262"/>
      <c r="AK97" s="262"/>
    </row>
    <row r="98" spans="1:38" x14ac:dyDescent="0.3">
      <c r="A98" s="257"/>
      <c r="F98" s="227"/>
      <c r="U98" s="259"/>
      <c r="V98" s="259"/>
      <c r="W98" s="259"/>
      <c r="X98" s="259"/>
      <c r="Y98" s="259"/>
      <c r="Z98" s="259"/>
      <c r="AA98" s="259"/>
      <c r="AB98" s="259"/>
      <c r="AC98" s="259"/>
      <c r="AD98" s="259"/>
      <c r="AE98" s="259"/>
      <c r="AF98" s="259"/>
      <c r="AG98" s="262"/>
      <c r="AH98" s="262"/>
      <c r="AI98" s="262"/>
      <c r="AJ98" s="262"/>
      <c r="AK98" s="262"/>
    </row>
    <row r="99" spans="1:38" x14ac:dyDescent="0.3">
      <c r="A99" s="261"/>
      <c r="AK99" s="262"/>
    </row>
    <row r="100" spans="1:38" x14ac:dyDescent="0.3">
      <c r="A100" s="257"/>
      <c r="AK100" s="262"/>
    </row>
    <row r="101" spans="1:38" x14ac:dyDescent="0.3">
      <c r="A101" s="257"/>
      <c r="AK101" s="262"/>
    </row>
    <row r="102" spans="1:38" x14ac:dyDescent="0.3">
      <c r="A102" s="257"/>
      <c r="AK102" s="262"/>
    </row>
    <row r="103" spans="1:38" x14ac:dyDescent="0.3">
      <c r="A103" s="257"/>
      <c r="AK103" s="262"/>
    </row>
    <row r="104" spans="1:38" x14ac:dyDescent="0.3">
      <c r="A104" s="257"/>
      <c r="AK104" s="262"/>
    </row>
    <row r="105" spans="1:38" s="106" customFormat="1" x14ac:dyDescent="0.3">
      <c r="A105" s="257"/>
      <c r="B105" s="86"/>
      <c r="C105" s="86"/>
      <c r="D105" s="86"/>
      <c r="E105" s="258"/>
      <c r="F105" s="258"/>
      <c r="K105" s="86"/>
      <c r="L105" s="86"/>
      <c r="AG105" s="86"/>
      <c r="AH105" s="86"/>
      <c r="AI105" s="86"/>
      <c r="AJ105" s="86"/>
      <c r="AK105" s="86"/>
      <c r="AL105" s="86"/>
    </row>
    <row r="106" spans="1:38" s="106" customFormat="1" x14ac:dyDescent="0.3">
      <c r="A106" s="89"/>
      <c r="B106" s="86"/>
      <c r="C106" s="86"/>
      <c r="D106" s="86"/>
      <c r="E106" s="258"/>
      <c r="F106" s="258"/>
      <c r="K106" s="86"/>
      <c r="L106" s="86"/>
      <c r="AG106" s="86"/>
      <c r="AH106" s="86"/>
      <c r="AI106" s="86"/>
      <c r="AJ106" s="86"/>
      <c r="AK106" s="86"/>
      <c r="AL106" s="86"/>
    </row>
    <row r="107" spans="1:38" s="106" customFormat="1" x14ac:dyDescent="0.3">
      <c r="A107" s="89"/>
      <c r="B107" s="86"/>
      <c r="C107" s="86"/>
      <c r="D107" s="86"/>
      <c r="E107" s="258"/>
      <c r="F107" s="258"/>
      <c r="K107" s="86"/>
      <c r="L107" s="86"/>
      <c r="AG107" s="86"/>
      <c r="AH107" s="86"/>
      <c r="AI107" s="86"/>
      <c r="AJ107" s="86"/>
      <c r="AK107" s="86"/>
      <c r="AL107" s="86"/>
    </row>
    <row r="108" spans="1:38" s="106" customFormat="1" x14ac:dyDescent="0.3">
      <c r="A108" s="261"/>
      <c r="B108" s="86"/>
      <c r="C108" s="86"/>
      <c r="D108" s="86"/>
      <c r="E108" s="258"/>
      <c r="F108" s="258"/>
      <c r="K108" s="86"/>
      <c r="L108" s="86"/>
      <c r="AG108" s="86"/>
      <c r="AH108" s="86"/>
      <c r="AI108" s="86"/>
      <c r="AJ108" s="86"/>
      <c r="AK108" s="86"/>
      <c r="AL108" s="86"/>
    </row>
    <row r="109" spans="1:38" s="106" customFormat="1" x14ac:dyDescent="0.3">
      <c r="A109" s="261"/>
      <c r="B109" s="86"/>
      <c r="C109" s="86"/>
      <c r="D109" s="86"/>
      <c r="E109" s="258"/>
      <c r="F109" s="258"/>
      <c r="K109" s="86"/>
      <c r="L109" s="86"/>
      <c r="AG109" s="86"/>
      <c r="AH109" s="86"/>
      <c r="AI109" s="86"/>
      <c r="AJ109" s="86"/>
      <c r="AK109" s="86"/>
      <c r="AL109" s="86"/>
    </row>
    <row r="110" spans="1:38" s="106" customFormat="1" x14ac:dyDescent="0.3">
      <c r="A110" s="261"/>
      <c r="B110" s="86"/>
      <c r="C110" s="86"/>
      <c r="D110" s="86"/>
      <c r="E110" s="258"/>
      <c r="F110" s="258"/>
      <c r="K110" s="86"/>
      <c r="L110" s="86"/>
      <c r="AG110" s="86"/>
      <c r="AH110" s="86"/>
      <c r="AI110" s="86"/>
      <c r="AJ110" s="86"/>
      <c r="AK110" s="86"/>
      <c r="AL110" s="86"/>
    </row>
    <row r="111" spans="1:38" s="106" customFormat="1" x14ac:dyDescent="0.3">
      <c r="A111" s="262"/>
      <c r="B111" s="86"/>
      <c r="C111" s="86"/>
      <c r="D111" s="86"/>
      <c r="E111" s="258"/>
      <c r="F111" s="258"/>
      <c r="K111" s="86"/>
      <c r="L111" s="86"/>
      <c r="AG111" s="86"/>
      <c r="AH111" s="86"/>
      <c r="AI111" s="86"/>
      <c r="AJ111" s="86"/>
      <c r="AK111" s="86"/>
      <c r="AL111" s="86"/>
    </row>
    <row r="112" spans="1:38" s="106" customFormat="1" x14ac:dyDescent="0.3">
      <c r="A112" s="262"/>
      <c r="B112" s="86"/>
      <c r="C112" s="86"/>
      <c r="D112" s="86"/>
      <c r="E112" s="258"/>
      <c r="F112" s="258"/>
      <c r="K112" s="86"/>
      <c r="L112" s="86"/>
      <c r="AG112" s="86"/>
      <c r="AH112" s="86"/>
      <c r="AI112" s="86"/>
      <c r="AJ112" s="86"/>
      <c r="AK112" s="86"/>
      <c r="AL112" s="86"/>
    </row>
    <row r="113" spans="1:38" s="106" customFormat="1" x14ac:dyDescent="0.3">
      <c r="A113" s="262"/>
      <c r="B113" s="86"/>
      <c r="C113" s="86"/>
      <c r="D113" s="86"/>
      <c r="E113" s="258"/>
      <c r="F113" s="258"/>
      <c r="K113" s="86"/>
      <c r="L113" s="86"/>
      <c r="AG113" s="86"/>
      <c r="AH113" s="86"/>
      <c r="AI113" s="86"/>
      <c r="AJ113" s="86"/>
      <c r="AK113" s="86"/>
      <c r="AL113" s="86"/>
    </row>
    <row r="114" spans="1:38" s="106" customFormat="1" x14ac:dyDescent="0.3">
      <c r="A114" s="262"/>
      <c r="B114" s="86"/>
      <c r="C114" s="86"/>
      <c r="D114" s="86"/>
      <c r="E114" s="258"/>
      <c r="F114" s="258"/>
      <c r="K114" s="86"/>
      <c r="L114" s="86"/>
      <c r="AG114" s="86"/>
      <c r="AH114" s="86"/>
      <c r="AI114" s="86"/>
      <c r="AJ114" s="86"/>
      <c r="AK114" s="86"/>
      <c r="AL114" s="86"/>
    </row>
    <row r="115" spans="1:38" s="106" customFormat="1" x14ac:dyDescent="0.3">
      <c r="A115" s="262"/>
      <c r="B115" s="86"/>
      <c r="C115" s="86"/>
      <c r="D115" s="86"/>
      <c r="E115" s="258"/>
      <c r="F115" s="258"/>
      <c r="K115" s="86"/>
      <c r="L115" s="86"/>
      <c r="AG115" s="86"/>
      <c r="AH115" s="86"/>
      <c r="AI115" s="86"/>
      <c r="AJ115" s="86"/>
      <c r="AK115" s="86"/>
      <c r="AL115" s="86"/>
    </row>
    <row r="116" spans="1:38" s="106" customFormat="1" x14ac:dyDescent="0.3">
      <c r="A116" s="262"/>
      <c r="B116" s="86"/>
      <c r="C116" s="86"/>
      <c r="D116" s="86"/>
      <c r="E116" s="258"/>
      <c r="F116" s="258"/>
      <c r="K116" s="86"/>
      <c r="L116" s="86"/>
      <c r="AG116" s="86"/>
      <c r="AH116" s="86"/>
      <c r="AI116" s="86"/>
      <c r="AJ116" s="86"/>
      <c r="AK116" s="86"/>
      <c r="AL116" s="86"/>
    </row>
    <row r="117" spans="1:38" s="106" customFormat="1" x14ac:dyDescent="0.3">
      <c r="A117" s="262"/>
      <c r="B117" s="86"/>
      <c r="C117" s="86"/>
      <c r="D117" s="86"/>
      <c r="E117" s="258"/>
      <c r="F117" s="258"/>
      <c r="K117" s="86"/>
      <c r="L117" s="86"/>
      <c r="AG117" s="86"/>
      <c r="AH117" s="86"/>
      <c r="AI117" s="86"/>
      <c r="AJ117" s="86"/>
      <c r="AK117" s="86"/>
      <c r="AL117" s="86"/>
    </row>
    <row r="118" spans="1:38" s="106" customFormat="1" x14ac:dyDescent="0.3">
      <c r="A118" s="262"/>
      <c r="B118" s="86"/>
      <c r="C118" s="86"/>
      <c r="D118" s="86"/>
      <c r="E118" s="258"/>
      <c r="F118" s="227"/>
      <c r="K118" s="86"/>
      <c r="L118" s="86"/>
      <c r="AG118" s="86"/>
      <c r="AH118" s="86"/>
      <c r="AI118" s="86"/>
      <c r="AJ118" s="86"/>
      <c r="AK118" s="86"/>
      <c r="AL118" s="86"/>
    </row>
    <row r="119" spans="1:38" x14ac:dyDescent="0.3">
      <c r="F119" s="227"/>
    </row>
    <row r="120" spans="1:38" x14ac:dyDescent="0.3">
      <c r="F120" s="227"/>
    </row>
    <row r="121" spans="1:38" x14ac:dyDescent="0.3">
      <c r="F121" s="227"/>
    </row>
    <row r="178" spans="1:38" s="106" customFormat="1" x14ac:dyDescent="0.3">
      <c r="A178" s="86"/>
      <c r="B178" s="86"/>
      <c r="C178" s="86"/>
      <c r="D178" s="86"/>
      <c r="E178" s="258"/>
      <c r="F178" s="258"/>
      <c r="K178" s="86"/>
      <c r="L178" s="86"/>
      <c r="AG178" s="86"/>
      <c r="AH178" s="86"/>
      <c r="AI178" s="86"/>
      <c r="AJ178" s="86"/>
      <c r="AK178" s="86"/>
      <c r="AL178" s="86"/>
    </row>
    <row r="202" spans="1:38" s="106" customFormat="1" x14ac:dyDescent="0.3">
      <c r="A202" s="86"/>
      <c r="B202" s="86"/>
      <c r="C202" s="86"/>
      <c r="D202" s="86"/>
      <c r="E202" s="258"/>
      <c r="F202" s="258"/>
      <c r="K202" s="86"/>
      <c r="L202" s="86"/>
      <c r="AG202" s="86"/>
      <c r="AH202" s="86"/>
      <c r="AI202" s="86"/>
      <c r="AJ202" s="86"/>
      <c r="AK202" s="86"/>
      <c r="AL202" s="86"/>
    </row>
    <row r="206" spans="1:38" x14ac:dyDescent="0.3">
      <c r="F206" s="227"/>
    </row>
  </sheetData>
  <mergeCells count="9">
    <mergeCell ref="G2:G3"/>
    <mergeCell ref="H2:H3"/>
    <mergeCell ref="I2:J2"/>
    <mergeCell ref="K2:K3"/>
    <mergeCell ref="B1:C1"/>
    <mergeCell ref="B2:B3"/>
    <mergeCell ref="C2:C3"/>
    <mergeCell ref="D2:D3"/>
    <mergeCell ref="E2:F3"/>
  </mergeCells>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S276"/>
  <sheetViews>
    <sheetView showGridLines="0" zoomScale="90" zoomScaleNormal="90" workbookViewId="0">
      <pane ySplit="4" topLeftCell="A188" activePane="bottomLeft" state="frozen"/>
      <selection pane="bottomLeft" activeCell="B6" sqref="B6:R182"/>
    </sheetView>
  </sheetViews>
  <sheetFormatPr defaultColWidth="9.109375" defaultRowHeight="14.4" x14ac:dyDescent="0.3"/>
  <cols>
    <col min="1" max="1" width="1" style="1" customWidth="1"/>
    <col min="2" max="2" width="4.33203125" style="1" customWidth="1"/>
    <col min="3" max="3" width="18.109375" style="156" customWidth="1"/>
    <col min="4" max="4" width="10.109375" style="3" customWidth="1"/>
    <col min="5" max="5" width="10" style="3" customWidth="1"/>
    <col min="6" max="6" width="12.44140625" style="1" customWidth="1"/>
    <col min="7" max="7" width="10.109375" style="1" bestFit="1" customWidth="1"/>
    <col min="8" max="8" width="10.109375" style="1" customWidth="1"/>
    <col min="9" max="9" width="9.6640625" style="3" customWidth="1"/>
    <col min="10" max="10" width="9.5546875" style="3" customWidth="1"/>
    <col min="11" max="11" width="9.5546875" style="3" bestFit="1" customWidth="1"/>
    <col min="12" max="12" width="10" style="3" customWidth="1"/>
    <col min="13" max="13" width="10.5546875" style="3" customWidth="1"/>
    <col min="14" max="14" width="8.33203125" style="3" customWidth="1"/>
    <col min="15" max="15" width="9.44140625" style="3" customWidth="1"/>
    <col min="16" max="16" width="10.88671875" style="3" customWidth="1"/>
    <col min="17" max="17" width="11.6640625" style="3" customWidth="1"/>
    <col min="18" max="18" width="11.44140625" style="3" bestFit="1" customWidth="1"/>
    <col min="19" max="19" width="18.33203125" style="3" customWidth="1"/>
    <col min="20" max="16384" width="9.109375" style="1"/>
  </cols>
  <sheetData>
    <row r="1" spans="2:19" ht="3.75" customHeight="1" x14ac:dyDescent="0.3"/>
    <row r="2" spans="2:19" ht="20.100000000000001" customHeight="1" x14ac:dyDescent="0.3">
      <c r="B2" s="816" t="s">
        <v>107</v>
      </c>
      <c r="C2" s="816"/>
      <c r="D2" s="816"/>
      <c r="E2" s="816"/>
      <c r="F2" s="816"/>
      <c r="G2" s="816"/>
      <c r="H2" s="816"/>
      <c r="I2" s="816"/>
      <c r="J2" s="816"/>
      <c r="K2" s="816"/>
      <c r="L2" s="816"/>
      <c r="M2" s="816"/>
      <c r="N2" s="816"/>
      <c r="O2" s="816"/>
      <c r="P2" s="816"/>
      <c r="Q2" s="816"/>
      <c r="R2" s="816"/>
      <c r="S2" s="816"/>
    </row>
    <row r="3" spans="2:19" ht="19.5" customHeight="1" x14ac:dyDescent="0.3">
      <c r="B3" s="817" t="s">
        <v>39</v>
      </c>
      <c r="C3" s="819" t="s">
        <v>1</v>
      </c>
      <c r="D3" s="821" t="s">
        <v>3</v>
      </c>
      <c r="E3" s="822"/>
      <c r="F3" s="825" t="s">
        <v>108</v>
      </c>
      <c r="G3" s="825"/>
      <c r="H3" s="825"/>
      <c r="I3" s="825"/>
      <c r="J3" s="826" t="s">
        <v>109</v>
      </c>
      <c r="K3" s="828" t="s">
        <v>13</v>
      </c>
      <c r="L3" s="829"/>
      <c r="M3" s="826" t="s">
        <v>110</v>
      </c>
      <c r="N3" s="828" t="s">
        <v>111</v>
      </c>
      <c r="O3" s="830"/>
      <c r="P3" s="830"/>
      <c r="Q3" s="830"/>
      <c r="R3" s="829"/>
      <c r="S3" s="831" t="s">
        <v>11</v>
      </c>
    </row>
    <row r="4" spans="2:19" ht="25.5" customHeight="1" x14ac:dyDescent="0.3">
      <c r="B4" s="818"/>
      <c r="C4" s="820"/>
      <c r="D4" s="823"/>
      <c r="E4" s="824"/>
      <c r="F4" s="68" t="s">
        <v>4</v>
      </c>
      <c r="G4" s="68" t="s">
        <v>5</v>
      </c>
      <c r="H4" s="68" t="s">
        <v>16</v>
      </c>
      <c r="I4" s="168" t="s">
        <v>23</v>
      </c>
      <c r="J4" s="827"/>
      <c r="K4" s="168" t="s">
        <v>21</v>
      </c>
      <c r="L4" s="168" t="s">
        <v>22</v>
      </c>
      <c r="M4" s="827"/>
      <c r="N4" s="168" t="s">
        <v>112</v>
      </c>
      <c r="O4" s="168" t="s">
        <v>113</v>
      </c>
      <c r="P4" s="168" t="s">
        <v>114</v>
      </c>
      <c r="Q4" s="168" t="s">
        <v>60</v>
      </c>
      <c r="R4" s="168" t="s">
        <v>61</v>
      </c>
      <c r="S4" s="832"/>
    </row>
    <row r="5" spans="2:19" x14ac:dyDescent="0.3">
      <c r="B5" s="169"/>
      <c r="C5" s="170" t="s">
        <v>271</v>
      </c>
      <c r="D5" s="69"/>
      <c r="E5" s="69"/>
      <c r="F5" s="69"/>
      <c r="G5" s="69"/>
      <c r="H5" s="69"/>
      <c r="I5" s="73"/>
      <c r="J5" s="70"/>
      <c r="K5" s="73"/>
      <c r="L5" s="73"/>
      <c r="M5" s="70"/>
      <c r="N5" s="73"/>
      <c r="O5" s="73"/>
      <c r="P5" s="73"/>
      <c r="Q5" s="73"/>
      <c r="R5" s="73"/>
      <c r="S5" s="171"/>
    </row>
    <row r="6" spans="2:19" ht="17.25" customHeight="1" x14ac:dyDescent="0.3">
      <c r="B6" s="109"/>
      <c r="C6" s="145"/>
      <c r="D6" s="74"/>
      <c r="E6" s="74"/>
      <c r="F6" s="69"/>
      <c r="G6" s="69"/>
      <c r="H6" s="69"/>
      <c r="I6" s="74"/>
      <c r="J6" s="74"/>
      <c r="K6" s="74"/>
      <c r="L6" s="74"/>
      <c r="M6" s="74"/>
      <c r="N6" s="74"/>
      <c r="O6" s="74"/>
      <c r="P6" s="74"/>
      <c r="Q6" s="74"/>
      <c r="R6" s="74"/>
      <c r="S6" s="112"/>
    </row>
    <row r="7" spans="2:19" ht="17.25" customHeight="1" x14ac:dyDescent="0.3">
      <c r="B7" s="71"/>
      <c r="C7" s="149"/>
      <c r="D7" s="74"/>
      <c r="E7" s="74"/>
      <c r="F7" s="72"/>
      <c r="G7" s="72"/>
      <c r="H7" s="72"/>
      <c r="I7" s="74"/>
      <c r="J7" s="74"/>
      <c r="K7" s="74"/>
      <c r="L7" s="74"/>
      <c r="M7" s="74"/>
      <c r="N7" s="74"/>
      <c r="O7" s="74"/>
      <c r="P7" s="74"/>
      <c r="Q7" s="74"/>
      <c r="R7" s="74"/>
      <c r="S7" s="112"/>
    </row>
    <row r="8" spans="2:19" ht="17.25" customHeight="1" x14ac:dyDescent="0.3">
      <c r="B8" s="71"/>
      <c r="C8" s="149"/>
      <c r="D8" s="74"/>
      <c r="E8" s="74"/>
      <c r="F8" s="72"/>
      <c r="G8" s="72"/>
      <c r="H8" s="72"/>
      <c r="I8" s="74"/>
      <c r="J8" s="74"/>
      <c r="K8" s="74"/>
      <c r="L8" s="74"/>
      <c r="M8" s="74"/>
      <c r="N8" s="74"/>
      <c r="O8" s="74"/>
      <c r="P8" s="74"/>
      <c r="Q8" s="74"/>
      <c r="R8" s="74"/>
      <c r="S8" s="112"/>
    </row>
    <row r="9" spans="2:19" ht="17.25" customHeight="1" x14ac:dyDescent="0.3">
      <c r="B9" s="71"/>
      <c r="C9" s="149"/>
      <c r="D9" s="74"/>
      <c r="E9" s="74"/>
      <c r="F9" s="72"/>
      <c r="G9" s="72"/>
      <c r="H9" s="72"/>
      <c r="I9" s="74"/>
      <c r="J9" s="74"/>
      <c r="K9" s="74"/>
      <c r="L9" s="74"/>
      <c r="M9" s="74"/>
      <c r="N9" s="74"/>
      <c r="O9" s="74"/>
      <c r="P9" s="74"/>
      <c r="Q9" s="74"/>
      <c r="R9" s="74"/>
      <c r="S9" s="112"/>
    </row>
    <row r="10" spans="2:19" ht="17.25" customHeight="1" x14ac:dyDescent="0.3">
      <c r="B10" s="71"/>
      <c r="C10" s="149"/>
      <c r="D10" s="74"/>
      <c r="E10" s="74"/>
      <c r="F10" s="72"/>
      <c r="G10" s="72"/>
      <c r="H10" s="72"/>
      <c r="I10" s="74"/>
      <c r="J10" s="74"/>
      <c r="K10" s="74"/>
      <c r="L10" s="74"/>
      <c r="M10" s="74"/>
      <c r="N10" s="74"/>
      <c r="O10" s="74"/>
      <c r="P10" s="74"/>
      <c r="Q10" s="74"/>
      <c r="R10" s="74"/>
      <c r="S10" s="112"/>
    </row>
    <row r="11" spans="2:19" ht="17.25" customHeight="1" x14ac:dyDescent="0.3">
      <c r="B11" s="71"/>
      <c r="C11" s="149"/>
      <c r="D11" s="74"/>
      <c r="E11" s="74"/>
      <c r="F11" s="72"/>
      <c r="G11" s="72"/>
      <c r="H11" s="72"/>
      <c r="I11" s="74"/>
      <c r="J11" s="74"/>
      <c r="K11" s="74"/>
      <c r="L11" s="74"/>
      <c r="M11" s="74"/>
      <c r="N11" s="74"/>
      <c r="O11" s="74"/>
      <c r="P11" s="74"/>
      <c r="Q11" s="74"/>
      <c r="R11" s="74"/>
      <c r="S11" s="112"/>
    </row>
    <row r="12" spans="2:19" ht="17.25" customHeight="1" x14ac:dyDescent="0.3">
      <c r="B12" s="71"/>
      <c r="C12" s="149"/>
      <c r="D12" s="74"/>
      <c r="E12" s="74"/>
      <c r="F12" s="72"/>
      <c r="G12" s="72"/>
      <c r="H12" s="72"/>
      <c r="I12" s="74"/>
      <c r="J12" s="74"/>
      <c r="K12" s="74"/>
      <c r="L12" s="74"/>
      <c r="M12" s="74"/>
      <c r="N12" s="74"/>
      <c r="O12" s="74"/>
      <c r="P12" s="74"/>
      <c r="Q12" s="74"/>
      <c r="R12" s="74"/>
      <c r="S12" s="112"/>
    </row>
    <row r="13" spans="2:19" ht="17.25" customHeight="1" x14ac:dyDescent="0.3">
      <c r="B13" s="109"/>
      <c r="C13" s="145"/>
      <c r="D13" s="74"/>
      <c r="E13" s="74"/>
      <c r="F13" s="69"/>
      <c r="G13" s="69"/>
      <c r="H13" s="69"/>
      <c r="I13" s="74"/>
      <c r="J13" s="74"/>
      <c r="K13" s="74"/>
      <c r="L13" s="74"/>
      <c r="M13" s="74"/>
      <c r="N13" s="74"/>
      <c r="O13" s="74"/>
      <c r="P13" s="74"/>
      <c r="Q13" s="74"/>
      <c r="R13" s="74"/>
      <c r="S13" s="112"/>
    </row>
    <row r="14" spans="2:19" ht="17.25" customHeight="1" x14ac:dyDescent="0.3">
      <c r="B14" s="71"/>
      <c r="C14" s="149"/>
      <c r="D14" s="74"/>
      <c r="E14" s="74"/>
      <c r="F14" s="72"/>
      <c r="G14" s="72"/>
      <c r="H14" s="72"/>
      <c r="I14" s="74"/>
      <c r="J14" s="74"/>
      <c r="K14" s="74"/>
      <c r="L14" s="74"/>
      <c r="M14" s="74"/>
      <c r="N14" s="74"/>
      <c r="O14" s="74"/>
      <c r="P14" s="74"/>
      <c r="Q14" s="74"/>
      <c r="R14" s="74"/>
      <c r="S14" s="112"/>
    </row>
    <row r="15" spans="2:19" ht="17.25" customHeight="1" x14ac:dyDescent="0.3">
      <c r="B15" s="71"/>
      <c r="C15" s="149"/>
      <c r="D15" s="74"/>
      <c r="E15" s="74"/>
      <c r="F15" s="72"/>
      <c r="G15" s="72"/>
      <c r="H15" s="72"/>
      <c r="I15" s="74"/>
      <c r="J15" s="74"/>
      <c r="K15" s="74"/>
      <c r="L15" s="74"/>
      <c r="M15" s="74"/>
      <c r="N15" s="74"/>
      <c r="O15" s="74"/>
      <c r="P15" s="74"/>
      <c r="Q15" s="74"/>
      <c r="R15" s="74"/>
      <c r="S15" s="112"/>
    </row>
    <row r="16" spans="2:19" ht="17.25" customHeight="1" x14ac:dyDescent="0.3">
      <c r="B16" s="71"/>
      <c r="C16" s="149"/>
      <c r="D16" s="74"/>
      <c r="E16" s="74"/>
      <c r="F16" s="72"/>
      <c r="G16" s="72"/>
      <c r="H16" s="72"/>
      <c r="I16" s="74"/>
      <c r="J16" s="74"/>
      <c r="K16" s="74"/>
      <c r="L16" s="74"/>
      <c r="M16" s="74"/>
      <c r="N16" s="74"/>
      <c r="O16" s="74"/>
      <c r="P16" s="74"/>
      <c r="Q16" s="74"/>
      <c r="R16" s="74"/>
      <c r="S16" s="112"/>
    </row>
    <row r="17" spans="2:19" ht="17.25" customHeight="1" x14ac:dyDescent="0.3">
      <c r="B17" s="71"/>
      <c r="C17" s="149"/>
      <c r="D17" s="74"/>
      <c r="E17" s="74"/>
      <c r="F17" s="72"/>
      <c r="G17" s="72"/>
      <c r="H17" s="72"/>
      <c r="I17" s="74"/>
      <c r="J17" s="74"/>
      <c r="K17" s="74"/>
      <c r="L17" s="74"/>
      <c r="M17" s="74"/>
      <c r="N17" s="74"/>
      <c r="O17" s="74"/>
      <c r="P17" s="74"/>
      <c r="Q17" s="74"/>
      <c r="R17" s="74"/>
      <c r="S17" s="112"/>
    </row>
    <row r="18" spans="2:19" ht="17.25" customHeight="1" x14ac:dyDescent="0.3">
      <c r="B18" s="109"/>
      <c r="C18" s="145"/>
      <c r="D18" s="74"/>
      <c r="E18" s="74"/>
      <c r="F18" s="69"/>
      <c r="G18" s="69"/>
      <c r="H18" s="69"/>
      <c r="I18" s="74"/>
      <c r="J18" s="74"/>
      <c r="K18" s="74"/>
      <c r="L18" s="74"/>
      <c r="M18" s="74"/>
      <c r="N18" s="74"/>
      <c r="O18" s="74"/>
      <c r="P18" s="74"/>
      <c r="Q18" s="74"/>
      <c r="R18" s="74"/>
      <c r="S18" s="112"/>
    </row>
    <row r="19" spans="2:19" ht="17.25" customHeight="1" x14ac:dyDescent="0.3">
      <c r="B19" s="71"/>
      <c r="C19" s="149"/>
      <c r="D19" s="74"/>
      <c r="E19" s="74"/>
      <c r="F19" s="72"/>
      <c r="G19" s="72"/>
      <c r="H19" s="72"/>
      <c r="I19" s="74"/>
      <c r="J19" s="74"/>
      <c r="K19" s="74"/>
      <c r="L19" s="74"/>
      <c r="M19" s="74"/>
      <c r="N19" s="74"/>
      <c r="O19" s="74"/>
      <c r="P19" s="74"/>
      <c r="Q19" s="74"/>
      <c r="R19" s="74"/>
      <c r="S19" s="112"/>
    </row>
    <row r="20" spans="2:19" ht="17.25" customHeight="1" x14ac:dyDescent="0.3">
      <c r="B20" s="71"/>
      <c r="C20" s="149"/>
      <c r="D20" s="74"/>
      <c r="E20" s="74"/>
      <c r="F20" s="72"/>
      <c r="G20" s="72"/>
      <c r="H20" s="72"/>
      <c r="I20" s="74"/>
      <c r="J20" s="74"/>
      <c r="K20" s="74"/>
      <c r="L20" s="74"/>
      <c r="M20" s="74"/>
      <c r="N20" s="74"/>
      <c r="O20" s="74"/>
      <c r="P20" s="74"/>
      <c r="Q20" s="74"/>
      <c r="R20" s="74"/>
      <c r="S20" s="112"/>
    </row>
    <row r="21" spans="2:19" ht="17.25" customHeight="1" x14ac:dyDescent="0.3">
      <c r="B21" s="71"/>
      <c r="C21" s="149"/>
      <c r="D21" s="74"/>
      <c r="E21" s="74"/>
      <c r="F21" s="72"/>
      <c r="G21" s="72"/>
      <c r="H21" s="72"/>
      <c r="I21" s="74"/>
      <c r="J21" s="74"/>
      <c r="K21" s="74"/>
      <c r="L21" s="74"/>
      <c r="M21" s="74"/>
      <c r="N21" s="74"/>
      <c r="O21" s="74"/>
      <c r="P21" s="74"/>
      <c r="Q21" s="74"/>
      <c r="R21" s="74"/>
      <c r="S21" s="112"/>
    </row>
    <row r="22" spans="2:19" ht="17.25" customHeight="1" x14ac:dyDescent="0.3">
      <c r="B22" s="71"/>
      <c r="C22" s="149"/>
      <c r="D22" s="74"/>
      <c r="E22" s="74"/>
      <c r="F22" s="72"/>
      <c r="G22" s="72"/>
      <c r="H22" s="72"/>
      <c r="I22" s="74"/>
      <c r="J22" s="74"/>
      <c r="K22" s="74"/>
      <c r="L22" s="74"/>
      <c r="M22" s="74"/>
      <c r="N22" s="74"/>
      <c r="O22" s="74"/>
      <c r="P22" s="74"/>
      <c r="Q22" s="74"/>
      <c r="R22" s="74"/>
      <c r="S22" s="112"/>
    </row>
    <row r="23" spans="2:19" ht="17.25" customHeight="1" x14ac:dyDescent="0.3">
      <c r="B23" s="109"/>
      <c r="C23" s="145"/>
      <c r="D23" s="74"/>
      <c r="E23" s="74"/>
      <c r="F23" s="69"/>
      <c r="G23" s="69"/>
      <c r="H23" s="69"/>
      <c r="I23" s="74"/>
      <c r="J23" s="74"/>
      <c r="K23" s="74"/>
      <c r="L23" s="74"/>
      <c r="M23" s="74"/>
      <c r="N23" s="74"/>
      <c r="O23" s="74"/>
      <c r="P23" s="74"/>
      <c r="Q23" s="74"/>
      <c r="R23" s="74"/>
      <c r="S23" s="112"/>
    </row>
    <row r="24" spans="2:19" ht="17.25" customHeight="1" x14ac:dyDescent="0.3">
      <c r="B24" s="71"/>
      <c r="C24" s="149"/>
      <c r="D24" s="74"/>
      <c r="E24" s="74"/>
      <c r="F24" s="72"/>
      <c r="G24" s="72"/>
      <c r="H24" s="72"/>
      <c r="I24" s="74"/>
      <c r="J24" s="74"/>
      <c r="K24" s="74"/>
      <c r="L24" s="74"/>
      <c r="M24" s="74"/>
      <c r="N24" s="74"/>
      <c r="O24" s="74"/>
      <c r="P24" s="74"/>
      <c r="Q24" s="74"/>
      <c r="R24" s="74"/>
      <c r="S24" s="112"/>
    </row>
    <row r="25" spans="2:19" ht="17.25" customHeight="1" x14ac:dyDescent="0.3">
      <c r="B25" s="71"/>
      <c r="C25" s="149"/>
      <c r="D25" s="74"/>
      <c r="E25" s="74"/>
      <c r="F25" s="72"/>
      <c r="G25" s="72"/>
      <c r="H25" s="72"/>
      <c r="I25" s="74"/>
      <c r="J25" s="74"/>
      <c r="K25" s="74"/>
      <c r="L25" s="74"/>
      <c r="M25" s="74"/>
      <c r="N25" s="74"/>
      <c r="O25" s="74"/>
      <c r="P25" s="74"/>
      <c r="Q25" s="74"/>
      <c r="R25" s="74"/>
      <c r="S25" s="112"/>
    </row>
    <row r="26" spans="2:19" ht="17.25" customHeight="1" x14ac:dyDescent="0.3">
      <c r="B26" s="71"/>
      <c r="C26" s="149"/>
      <c r="D26" s="74"/>
      <c r="E26" s="74"/>
      <c r="F26" s="72"/>
      <c r="G26" s="72"/>
      <c r="H26" s="72"/>
      <c r="I26" s="74"/>
      <c r="J26" s="74"/>
      <c r="K26" s="74"/>
      <c r="L26" s="74"/>
      <c r="M26" s="74"/>
      <c r="N26" s="74"/>
      <c r="O26" s="74"/>
      <c r="P26" s="74"/>
      <c r="Q26" s="74"/>
      <c r="R26" s="74"/>
      <c r="S26" s="112"/>
    </row>
    <row r="27" spans="2:19" ht="17.25" customHeight="1" x14ac:dyDescent="0.3">
      <c r="B27" s="71"/>
      <c r="C27" s="149"/>
      <c r="D27" s="74"/>
      <c r="E27" s="74"/>
      <c r="F27" s="72"/>
      <c r="G27" s="72"/>
      <c r="H27" s="72"/>
      <c r="I27" s="74"/>
      <c r="J27" s="74"/>
      <c r="K27" s="74"/>
      <c r="L27" s="74"/>
      <c r="M27" s="74"/>
      <c r="N27" s="74"/>
      <c r="O27" s="74"/>
      <c r="P27" s="74"/>
      <c r="Q27" s="74"/>
      <c r="R27" s="74"/>
      <c r="S27" s="112"/>
    </row>
    <row r="28" spans="2:19" ht="17.25" customHeight="1" x14ac:dyDescent="0.3">
      <c r="B28" s="71"/>
      <c r="C28" s="149"/>
      <c r="D28" s="74"/>
      <c r="E28" s="74"/>
      <c r="F28" s="72"/>
      <c r="G28" s="72"/>
      <c r="H28" s="72"/>
      <c r="I28" s="74"/>
      <c r="J28" s="74"/>
      <c r="K28" s="74"/>
      <c r="L28" s="74"/>
      <c r="M28" s="74"/>
      <c r="N28" s="74"/>
      <c r="O28" s="74"/>
      <c r="P28" s="74"/>
      <c r="Q28" s="74"/>
      <c r="R28" s="74"/>
      <c r="S28" s="112"/>
    </row>
    <row r="29" spans="2:19" ht="17.25" customHeight="1" x14ac:dyDescent="0.3">
      <c r="B29" s="71"/>
      <c r="C29" s="149"/>
      <c r="D29" s="74"/>
      <c r="E29" s="74"/>
      <c r="F29" s="72"/>
      <c r="G29" s="72"/>
      <c r="H29" s="72"/>
      <c r="I29" s="74"/>
      <c r="J29" s="74"/>
      <c r="K29" s="74"/>
      <c r="L29" s="74"/>
      <c r="M29" s="74"/>
      <c r="N29" s="74"/>
      <c r="O29" s="74"/>
      <c r="P29" s="74"/>
      <c r="Q29" s="74"/>
      <c r="R29" s="74"/>
      <c r="S29" s="112"/>
    </row>
    <row r="30" spans="2:19" ht="17.25" customHeight="1" x14ac:dyDescent="0.3">
      <c r="B30" s="109"/>
      <c r="C30" s="145"/>
      <c r="D30" s="74"/>
      <c r="E30" s="74"/>
      <c r="F30" s="69"/>
      <c r="G30" s="69"/>
      <c r="H30" s="69"/>
      <c r="I30" s="74"/>
      <c r="J30" s="74"/>
      <c r="K30" s="74"/>
      <c r="L30" s="74"/>
      <c r="M30" s="74"/>
      <c r="N30" s="74"/>
      <c r="O30" s="74"/>
      <c r="P30" s="74"/>
      <c r="Q30" s="74"/>
      <c r="R30" s="74"/>
      <c r="S30" s="112"/>
    </row>
    <row r="31" spans="2:19" ht="17.25" customHeight="1" x14ac:dyDescent="0.3">
      <c r="B31" s="71"/>
      <c r="C31" s="149"/>
      <c r="D31" s="74"/>
      <c r="E31" s="74"/>
      <c r="F31" s="72"/>
      <c r="G31" s="72"/>
      <c r="H31" s="72"/>
      <c r="I31" s="74"/>
      <c r="J31" s="74"/>
      <c r="K31" s="74"/>
      <c r="L31" s="74"/>
      <c r="M31" s="74"/>
      <c r="N31" s="74"/>
      <c r="O31" s="74"/>
      <c r="P31" s="74"/>
      <c r="Q31" s="74"/>
      <c r="R31" s="74"/>
      <c r="S31" s="112"/>
    </row>
    <row r="32" spans="2:19" ht="17.25" customHeight="1" x14ac:dyDescent="0.3">
      <c r="B32" s="71"/>
      <c r="C32" s="149"/>
      <c r="D32" s="74"/>
      <c r="E32" s="74"/>
      <c r="F32" s="72"/>
      <c r="G32" s="72"/>
      <c r="H32" s="72"/>
      <c r="I32" s="74"/>
      <c r="J32" s="74"/>
      <c r="K32" s="74"/>
      <c r="L32" s="74"/>
      <c r="M32" s="74"/>
      <c r="N32" s="74"/>
      <c r="O32" s="74"/>
      <c r="P32" s="74"/>
      <c r="Q32" s="74"/>
      <c r="R32" s="74"/>
      <c r="S32" s="112"/>
    </row>
    <row r="33" spans="2:19" ht="17.25" customHeight="1" x14ac:dyDescent="0.3">
      <c r="B33" s="71"/>
      <c r="C33" s="149"/>
      <c r="D33" s="74"/>
      <c r="E33" s="74"/>
      <c r="F33" s="72"/>
      <c r="G33" s="72"/>
      <c r="H33" s="72"/>
      <c r="I33" s="74"/>
      <c r="J33" s="74"/>
      <c r="K33" s="74"/>
      <c r="L33" s="74"/>
      <c r="M33" s="74"/>
      <c r="N33" s="74"/>
      <c r="O33" s="74"/>
      <c r="P33" s="74"/>
      <c r="Q33" s="74"/>
      <c r="R33" s="74"/>
      <c r="S33" s="112"/>
    </row>
    <row r="34" spans="2:19" ht="17.25" customHeight="1" x14ac:dyDescent="0.3">
      <c r="B34" s="71"/>
      <c r="C34" s="149"/>
      <c r="D34" s="74"/>
      <c r="E34" s="74"/>
      <c r="F34" s="72"/>
      <c r="G34" s="72"/>
      <c r="H34" s="72"/>
      <c r="I34" s="74"/>
      <c r="J34" s="74"/>
      <c r="K34" s="74"/>
      <c r="L34" s="74"/>
      <c r="M34" s="74"/>
      <c r="N34" s="74"/>
      <c r="O34" s="74"/>
      <c r="P34" s="74"/>
      <c r="Q34" s="74"/>
      <c r="R34" s="74"/>
      <c r="S34" s="112"/>
    </row>
    <row r="35" spans="2:19" ht="17.25" customHeight="1" x14ac:dyDescent="0.3">
      <c r="B35" s="109"/>
      <c r="C35" s="145"/>
      <c r="D35" s="74"/>
      <c r="E35" s="74"/>
      <c r="F35" s="69"/>
      <c r="G35" s="69"/>
      <c r="H35" s="69"/>
      <c r="I35" s="74"/>
      <c r="J35" s="74"/>
      <c r="K35" s="74"/>
      <c r="L35" s="74"/>
      <c r="M35" s="74"/>
      <c r="N35" s="74"/>
      <c r="O35" s="74"/>
      <c r="P35" s="74"/>
      <c r="Q35" s="74"/>
      <c r="R35" s="74"/>
      <c r="S35" s="112"/>
    </row>
    <row r="36" spans="2:19" ht="17.25" customHeight="1" x14ac:dyDescent="0.3">
      <c r="B36" s="71"/>
      <c r="C36" s="149"/>
      <c r="D36" s="74"/>
      <c r="E36" s="74"/>
      <c r="F36" s="72"/>
      <c r="G36" s="72"/>
      <c r="H36" s="72"/>
      <c r="I36" s="74"/>
      <c r="J36" s="74"/>
      <c r="K36" s="74"/>
      <c r="L36" s="74"/>
      <c r="M36" s="74"/>
      <c r="N36" s="74"/>
      <c r="O36" s="74"/>
      <c r="P36" s="74"/>
      <c r="Q36" s="74"/>
      <c r="R36" s="74"/>
      <c r="S36" s="112"/>
    </row>
    <row r="37" spans="2:19" ht="17.25" customHeight="1" x14ac:dyDescent="0.3">
      <c r="B37" s="71"/>
      <c r="C37" s="149"/>
      <c r="D37" s="74"/>
      <c r="E37" s="74"/>
      <c r="F37" s="72"/>
      <c r="G37" s="72"/>
      <c r="H37" s="72"/>
      <c r="I37" s="74"/>
      <c r="J37" s="74"/>
      <c r="K37" s="74"/>
      <c r="L37" s="74"/>
      <c r="M37" s="74"/>
      <c r="N37" s="74"/>
      <c r="O37" s="74"/>
      <c r="P37" s="74"/>
      <c r="Q37" s="74"/>
      <c r="R37" s="74"/>
      <c r="S37" s="112"/>
    </row>
    <row r="38" spans="2:19" ht="17.25" customHeight="1" x14ac:dyDescent="0.3">
      <c r="B38" s="71"/>
      <c r="C38" s="149"/>
      <c r="D38" s="74"/>
      <c r="E38" s="74"/>
      <c r="F38" s="72"/>
      <c r="G38" s="72"/>
      <c r="H38" s="72"/>
      <c r="I38" s="74"/>
      <c r="J38" s="74"/>
      <c r="K38" s="74"/>
      <c r="L38" s="74"/>
      <c r="M38" s="74"/>
      <c r="N38" s="74"/>
      <c r="O38" s="74"/>
      <c r="P38" s="74"/>
      <c r="Q38" s="74"/>
      <c r="R38" s="74"/>
      <c r="S38" s="112"/>
    </row>
    <row r="39" spans="2:19" ht="17.25" customHeight="1" x14ac:dyDescent="0.3">
      <c r="B39" s="71"/>
      <c r="C39" s="149"/>
      <c r="D39" s="74"/>
      <c r="E39" s="74"/>
      <c r="F39" s="72"/>
      <c r="G39" s="72"/>
      <c r="H39" s="72"/>
      <c r="I39" s="74"/>
      <c r="J39" s="74"/>
      <c r="K39" s="74"/>
      <c r="L39" s="74"/>
      <c r="M39" s="74"/>
      <c r="N39" s="74"/>
      <c r="O39" s="74"/>
      <c r="P39" s="74"/>
      <c r="Q39" s="74"/>
      <c r="R39" s="74"/>
      <c r="S39" s="112"/>
    </row>
    <row r="40" spans="2:19" ht="17.25" customHeight="1" x14ac:dyDescent="0.3">
      <c r="B40" s="109"/>
      <c r="C40" s="145"/>
      <c r="D40" s="74"/>
      <c r="E40" s="74"/>
      <c r="F40" s="69"/>
      <c r="G40" s="69"/>
      <c r="H40" s="69"/>
      <c r="I40" s="74"/>
      <c r="J40" s="74"/>
      <c r="K40" s="74"/>
      <c r="L40" s="74"/>
      <c r="M40" s="74"/>
      <c r="N40" s="74"/>
      <c r="O40" s="74"/>
      <c r="P40" s="74"/>
      <c r="Q40" s="74"/>
      <c r="R40" s="74"/>
      <c r="S40" s="112"/>
    </row>
    <row r="41" spans="2:19" ht="17.25" customHeight="1" x14ac:dyDescent="0.3">
      <c r="B41" s="71"/>
      <c r="C41" s="149"/>
      <c r="D41" s="74"/>
      <c r="E41" s="74"/>
      <c r="F41" s="72"/>
      <c r="G41" s="72"/>
      <c r="H41" s="72"/>
      <c r="I41" s="74"/>
      <c r="J41" s="74"/>
      <c r="K41" s="74"/>
      <c r="L41" s="74"/>
      <c r="M41" s="74"/>
      <c r="N41" s="74"/>
      <c r="O41" s="74"/>
      <c r="P41" s="74"/>
      <c r="Q41" s="74"/>
      <c r="R41" s="74"/>
      <c r="S41" s="112"/>
    </row>
    <row r="42" spans="2:19" ht="17.25" customHeight="1" x14ac:dyDescent="0.3">
      <c r="B42" s="71"/>
      <c r="C42" s="149"/>
      <c r="D42" s="74"/>
      <c r="E42" s="74"/>
      <c r="F42" s="72"/>
      <c r="G42" s="72"/>
      <c r="H42" s="72"/>
      <c r="I42" s="74"/>
      <c r="J42" s="74"/>
      <c r="K42" s="74"/>
      <c r="L42" s="74"/>
      <c r="M42" s="74"/>
      <c r="N42" s="74"/>
      <c r="O42" s="74"/>
      <c r="P42" s="74"/>
      <c r="Q42" s="74"/>
      <c r="R42" s="74"/>
      <c r="S42" s="112"/>
    </row>
    <row r="43" spans="2:19" ht="17.25" customHeight="1" x14ac:dyDescent="0.3">
      <c r="B43" s="71"/>
      <c r="C43" s="149"/>
      <c r="D43" s="74"/>
      <c r="E43" s="74"/>
      <c r="F43" s="72"/>
      <c r="G43" s="72"/>
      <c r="H43" s="72"/>
      <c r="I43" s="74"/>
      <c r="J43" s="74"/>
      <c r="K43" s="74"/>
      <c r="L43" s="74"/>
      <c r="M43" s="74"/>
      <c r="N43" s="74"/>
      <c r="O43" s="74"/>
      <c r="P43" s="74"/>
      <c r="Q43" s="74"/>
      <c r="R43" s="74"/>
      <c r="S43" s="112"/>
    </row>
    <row r="44" spans="2:19" ht="17.25" customHeight="1" x14ac:dyDescent="0.3">
      <c r="B44" s="71"/>
      <c r="C44" s="149"/>
      <c r="D44" s="74"/>
      <c r="E44" s="74"/>
      <c r="F44" s="72"/>
      <c r="G44" s="72"/>
      <c r="H44" s="72"/>
      <c r="I44" s="74"/>
      <c r="J44" s="74"/>
      <c r="K44" s="74"/>
      <c r="L44" s="74"/>
      <c r="M44" s="74"/>
      <c r="N44" s="74"/>
      <c r="O44" s="74"/>
      <c r="P44" s="74"/>
      <c r="Q44" s="74"/>
      <c r="R44" s="74"/>
      <c r="S44" s="112"/>
    </row>
    <row r="45" spans="2:19" ht="17.25" customHeight="1" x14ac:dyDescent="0.3">
      <c r="B45" s="71"/>
      <c r="C45" s="149"/>
      <c r="D45" s="74"/>
      <c r="E45" s="74"/>
      <c r="F45" s="72"/>
      <c r="G45" s="72"/>
      <c r="H45" s="72"/>
      <c r="I45" s="74"/>
      <c r="J45" s="74"/>
      <c r="K45" s="74"/>
      <c r="L45" s="74"/>
      <c r="M45" s="74"/>
      <c r="N45" s="74"/>
      <c r="O45" s="74"/>
      <c r="P45" s="74"/>
      <c r="Q45" s="74"/>
      <c r="R45" s="74"/>
      <c r="S45" s="112"/>
    </row>
    <row r="46" spans="2:19" ht="17.25" customHeight="1" x14ac:dyDescent="0.3">
      <c r="B46" s="71"/>
      <c r="C46" s="149"/>
      <c r="D46" s="74"/>
      <c r="E46" s="74"/>
      <c r="F46" s="72"/>
      <c r="G46" s="72"/>
      <c r="H46" s="72"/>
      <c r="I46" s="74"/>
      <c r="J46" s="74"/>
      <c r="K46" s="74"/>
      <c r="L46" s="74"/>
      <c r="M46" s="74"/>
      <c r="N46" s="74"/>
      <c r="O46" s="74"/>
      <c r="P46" s="74"/>
      <c r="Q46" s="74"/>
      <c r="R46" s="74"/>
      <c r="S46" s="112"/>
    </row>
    <row r="47" spans="2:19" ht="17.25" customHeight="1" x14ac:dyDescent="0.3">
      <c r="B47" s="109"/>
      <c r="C47" s="145"/>
      <c r="D47" s="74"/>
      <c r="E47" s="74"/>
      <c r="F47" s="69"/>
      <c r="G47" s="69"/>
      <c r="H47" s="69"/>
      <c r="I47" s="74"/>
      <c r="J47" s="74"/>
      <c r="K47" s="74"/>
      <c r="L47" s="74"/>
      <c r="M47" s="74"/>
      <c r="N47" s="74"/>
      <c r="O47" s="74"/>
      <c r="P47" s="74"/>
      <c r="Q47" s="74"/>
      <c r="R47" s="74"/>
      <c r="S47" s="112"/>
    </row>
    <row r="48" spans="2:19" ht="17.25" customHeight="1" x14ac:dyDescent="0.3">
      <c r="B48" s="71"/>
      <c r="C48" s="149"/>
      <c r="D48" s="74"/>
      <c r="E48" s="74"/>
      <c r="F48" s="72"/>
      <c r="G48" s="72"/>
      <c r="H48" s="72"/>
      <c r="I48" s="74"/>
      <c r="J48" s="74"/>
      <c r="K48" s="74"/>
      <c r="L48" s="74"/>
      <c r="M48" s="74"/>
      <c r="N48" s="74"/>
      <c r="O48" s="74"/>
      <c r="P48" s="74"/>
      <c r="Q48" s="74"/>
      <c r="R48" s="74"/>
      <c r="S48" s="112"/>
    </row>
    <row r="49" spans="2:19" ht="17.25" customHeight="1" x14ac:dyDescent="0.3">
      <c r="B49" s="71"/>
      <c r="C49" s="149"/>
      <c r="D49" s="74"/>
      <c r="E49" s="74"/>
      <c r="F49" s="72"/>
      <c r="G49" s="72"/>
      <c r="H49" s="72"/>
      <c r="I49" s="74"/>
      <c r="J49" s="74"/>
      <c r="K49" s="74"/>
      <c r="L49" s="74"/>
      <c r="M49" s="74"/>
      <c r="N49" s="74"/>
      <c r="O49" s="74"/>
      <c r="P49" s="74"/>
      <c r="Q49" s="74"/>
      <c r="R49" s="74"/>
      <c r="S49" s="112"/>
    </row>
    <row r="50" spans="2:19" ht="17.25" customHeight="1" x14ac:dyDescent="0.3">
      <c r="B50" s="71"/>
      <c r="C50" s="149"/>
      <c r="D50" s="74"/>
      <c r="E50" s="74"/>
      <c r="F50" s="72"/>
      <c r="G50" s="72"/>
      <c r="H50" s="72"/>
      <c r="I50" s="74"/>
      <c r="J50" s="74"/>
      <c r="K50" s="74"/>
      <c r="L50" s="74"/>
      <c r="M50" s="74"/>
      <c r="N50" s="74"/>
      <c r="O50" s="74"/>
      <c r="P50" s="74"/>
      <c r="Q50" s="74"/>
      <c r="R50" s="74"/>
      <c r="S50" s="112"/>
    </row>
    <row r="51" spans="2:19" ht="17.25" customHeight="1" x14ac:dyDescent="0.3">
      <c r="B51" s="71"/>
      <c r="C51" s="149"/>
      <c r="D51" s="74"/>
      <c r="E51" s="74"/>
      <c r="F51" s="72"/>
      <c r="G51" s="72"/>
      <c r="H51" s="72"/>
      <c r="I51" s="74"/>
      <c r="J51" s="74"/>
      <c r="K51" s="74"/>
      <c r="L51" s="74"/>
      <c r="M51" s="74"/>
      <c r="N51" s="74"/>
      <c r="O51" s="74"/>
      <c r="P51" s="74"/>
      <c r="Q51" s="74"/>
      <c r="R51" s="74"/>
      <c r="S51" s="112"/>
    </row>
    <row r="52" spans="2:19" ht="17.25" customHeight="1" x14ac:dyDescent="0.3">
      <c r="B52" s="71"/>
      <c r="C52" s="149"/>
      <c r="D52" s="74"/>
      <c r="E52" s="74"/>
      <c r="F52" s="72"/>
      <c r="G52" s="72"/>
      <c r="H52" s="72"/>
      <c r="I52" s="74"/>
      <c r="J52" s="74"/>
      <c r="K52" s="74"/>
      <c r="L52" s="74"/>
      <c r="M52" s="74"/>
      <c r="N52" s="74"/>
      <c r="O52" s="74"/>
      <c r="P52" s="74"/>
      <c r="Q52" s="74"/>
      <c r="R52" s="74"/>
      <c r="S52" s="112"/>
    </row>
    <row r="53" spans="2:19" ht="17.25" customHeight="1" x14ac:dyDescent="0.3">
      <c r="B53" s="71"/>
      <c r="C53" s="149"/>
      <c r="D53" s="74"/>
      <c r="E53" s="74"/>
      <c r="F53" s="72"/>
      <c r="G53" s="72"/>
      <c r="H53" s="72"/>
      <c r="I53" s="74"/>
      <c r="J53" s="74"/>
      <c r="K53" s="74"/>
      <c r="L53" s="74"/>
      <c r="M53" s="74"/>
      <c r="N53" s="74"/>
      <c r="O53" s="74"/>
      <c r="P53" s="74"/>
      <c r="Q53" s="74"/>
      <c r="R53" s="74"/>
      <c r="S53" s="112"/>
    </row>
    <row r="54" spans="2:19" ht="17.25" customHeight="1" x14ac:dyDescent="0.3">
      <c r="B54" s="109"/>
      <c r="C54" s="145"/>
      <c r="D54" s="74"/>
      <c r="E54" s="74"/>
      <c r="F54" s="69"/>
      <c r="G54" s="69"/>
      <c r="H54" s="69"/>
      <c r="I54" s="74"/>
      <c r="J54" s="74"/>
      <c r="K54" s="74"/>
      <c r="L54" s="74"/>
      <c r="M54" s="74"/>
      <c r="N54" s="74"/>
      <c r="O54" s="74"/>
      <c r="P54" s="74"/>
      <c r="Q54" s="74"/>
      <c r="R54" s="74"/>
      <c r="S54" s="112"/>
    </row>
    <row r="55" spans="2:19" ht="17.25" customHeight="1" x14ac:dyDescent="0.3">
      <c r="B55" s="71"/>
      <c r="C55" s="149"/>
      <c r="D55" s="74"/>
      <c r="E55" s="74"/>
      <c r="F55" s="72"/>
      <c r="G55" s="72"/>
      <c r="H55" s="72"/>
      <c r="I55" s="74"/>
      <c r="J55" s="74"/>
      <c r="K55" s="74"/>
      <c r="L55" s="74"/>
      <c r="M55" s="74"/>
      <c r="N55" s="74"/>
      <c r="O55" s="74"/>
      <c r="P55" s="74"/>
      <c r="Q55" s="74"/>
      <c r="R55" s="74"/>
      <c r="S55" s="112"/>
    </row>
    <row r="56" spans="2:19" ht="17.25" customHeight="1" x14ac:dyDescent="0.3">
      <c r="B56" s="71"/>
      <c r="C56" s="149"/>
      <c r="D56" s="74"/>
      <c r="E56" s="74"/>
      <c r="F56" s="72"/>
      <c r="G56" s="72"/>
      <c r="H56" s="72"/>
      <c r="I56" s="74"/>
      <c r="J56" s="74"/>
      <c r="K56" s="74"/>
      <c r="L56" s="74"/>
      <c r="M56" s="74"/>
      <c r="N56" s="74"/>
      <c r="O56" s="74"/>
      <c r="P56" s="74"/>
      <c r="Q56" s="74"/>
      <c r="R56" s="74"/>
      <c r="S56" s="112"/>
    </row>
    <row r="57" spans="2:19" ht="17.25" customHeight="1" x14ac:dyDescent="0.3">
      <c r="B57" s="71"/>
      <c r="C57" s="149"/>
      <c r="D57" s="74"/>
      <c r="E57" s="74"/>
      <c r="F57" s="72"/>
      <c r="G57" s="72"/>
      <c r="H57" s="72"/>
      <c r="I57" s="74"/>
      <c r="J57" s="74"/>
      <c r="K57" s="74"/>
      <c r="L57" s="74"/>
      <c r="M57" s="74"/>
      <c r="N57" s="74"/>
      <c r="O57" s="74"/>
      <c r="P57" s="74"/>
      <c r="Q57" s="74"/>
      <c r="R57" s="74"/>
      <c r="S57" s="112"/>
    </row>
    <row r="58" spans="2:19" ht="17.25" customHeight="1" x14ac:dyDescent="0.3">
      <c r="B58" s="71"/>
      <c r="C58" s="149"/>
      <c r="D58" s="74"/>
      <c r="E58" s="74"/>
      <c r="F58" s="72"/>
      <c r="G58" s="72"/>
      <c r="H58" s="72"/>
      <c r="I58" s="74"/>
      <c r="J58" s="74"/>
      <c r="K58" s="74"/>
      <c r="L58" s="74"/>
      <c r="M58" s="74"/>
      <c r="N58" s="74"/>
      <c r="O58" s="74"/>
      <c r="P58" s="74"/>
      <c r="Q58" s="74"/>
      <c r="R58" s="74"/>
      <c r="S58" s="112"/>
    </row>
    <row r="59" spans="2:19" ht="17.25" customHeight="1" x14ac:dyDescent="0.3">
      <c r="B59" s="71"/>
      <c r="C59" s="149"/>
      <c r="D59" s="74"/>
      <c r="E59" s="74"/>
      <c r="F59" s="72"/>
      <c r="G59" s="72"/>
      <c r="H59" s="72"/>
      <c r="I59" s="74"/>
      <c r="J59" s="74"/>
      <c r="K59" s="74"/>
      <c r="L59" s="74"/>
      <c r="M59" s="74"/>
      <c r="N59" s="74"/>
      <c r="O59" s="74"/>
      <c r="P59" s="74"/>
      <c r="Q59" s="74"/>
      <c r="R59" s="74"/>
      <c r="S59" s="112"/>
    </row>
    <row r="60" spans="2:19" ht="17.25" customHeight="1" x14ac:dyDescent="0.3">
      <c r="B60" s="71"/>
      <c r="C60" s="149"/>
      <c r="D60" s="74"/>
      <c r="E60" s="74"/>
      <c r="F60" s="72"/>
      <c r="G60" s="72"/>
      <c r="H60" s="72"/>
      <c r="I60" s="74"/>
      <c r="J60" s="74"/>
      <c r="K60" s="74"/>
      <c r="L60" s="74"/>
      <c r="M60" s="74"/>
      <c r="N60" s="74"/>
      <c r="O60" s="74"/>
      <c r="P60" s="74"/>
      <c r="Q60" s="74"/>
      <c r="R60" s="74"/>
      <c r="S60" s="112"/>
    </row>
    <row r="61" spans="2:19" ht="17.25" customHeight="1" x14ac:dyDescent="0.3">
      <c r="B61" s="109"/>
      <c r="C61" s="145"/>
      <c r="D61" s="73"/>
      <c r="E61" s="73"/>
      <c r="F61" s="69"/>
      <c r="G61" s="69"/>
      <c r="H61" s="69"/>
      <c r="I61" s="73"/>
      <c r="J61" s="73"/>
      <c r="K61" s="73"/>
      <c r="L61" s="73"/>
      <c r="M61" s="73"/>
      <c r="N61" s="73"/>
      <c r="O61" s="73"/>
      <c r="P61" s="73"/>
      <c r="Q61" s="73"/>
      <c r="R61" s="73"/>
      <c r="S61" s="317"/>
    </row>
    <row r="62" spans="2:19" ht="17.25" customHeight="1" x14ac:dyDescent="0.3">
      <c r="B62" s="71"/>
      <c r="C62" s="149"/>
      <c r="D62" s="74"/>
      <c r="E62" s="74"/>
      <c r="F62" s="72"/>
      <c r="G62" s="72"/>
      <c r="H62" s="72"/>
      <c r="I62" s="74"/>
      <c r="J62" s="74"/>
      <c r="K62" s="74"/>
      <c r="L62" s="74"/>
      <c r="M62" s="74"/>
      <c r="N62" s="74"/>
      <c r="O62" s="74"/>
      <c r="P62" s="74"/>
      <c r="Q62" s="74"/>
      <c r="R62" s="74"/>
      <c r="S62" s="112"/>
    </row>
    <row r="63" spans="2:19" ht="17.25" customHeight="1" x14ac:dyDescent="0.3">
      <c r="B63" s="71"/>
      <c r="C63" s="149"/>
      <c r="D63" s="74"/>
      <c r="E63" s="74"/>
      <c r="F63" s="72"/>
      <c r="G63" s="72"/>
      <c r="H63" s="72"/>
      <c r="I63" s="74"/>
      <c r="J63" s="74"/>
      <c r="K63" s="74"/>
      <c r="L63" s="74"/>
      <c r="M63" s="74"/>
      <c r="N63" s="74"/>
      <c r="O63" s="74"/>
      <c r="P63" s="74"/>
      <c r="Q63" s="74"/>
      <c r="R63" s="74"/>
      <c r="S63" s="112"/>
    </row>
    <row r="64" spans="2:19" ht="17.25" customHeight="1" x14ac:dyDescent="0.3">
      <c r="B64" s="71"/>
      <c r="C64" s="149"/>
      <c r="D64" s="74"/>
      <c r="E64" s="74"/>
      <c r="F64" s="72"/>
      <c r="G64" s="72"/>
      <c r="H64" s="72"/>
      <c r="I64" s="74"/>
      <c r="J64" s="74"/>
      <c r="K64" s="74"/>
      <c r="L64" s="74"/>
      <c r="M64" s="74"/>
      <c r="N64" s="74"/>
      <c r="O64" s="74"/>
      <c r="P64" s="74"/>
      <c r="Q64" s="74"/>
      <c r="R64" s="74"/>
      <c r="S64" s="112"/>
    </row>
    <row r="65" spans="2:19" ht="17.25" customHeight="1" x14ac:dyDescent="0.3">
      <c r="B65" s="71"/>
      <c r="C65" s="149"/>
      <c r="D65" s="74"/>
      <c r="E65" s="74"/>
      <c r="F65" s="72"/>
      <c r="G65" s="72"/>
      <c r="H65" s="72"/>
      <c r="I65" s="74"/>
      <c r="J65" s="74"/>
      <c r="K65" s="74"/>
      <c r="L65" s="74"/>
      <c r="M65" s="74"/>
      <c r="N65" s="74"/>
      <c r="O65" s="74"/>
      <c r="P65" s="74"/>
      <c r="Q65" s="74"/>
      <c r="R65" s="74"/>
      <c r="S65" s="112"/>
    </row>
    <row r="66" spans="2:19" ht="17.25" customHeight="1" x14ac:dyDescent="0.3">
      <c r="B66" s="109"/>
      <c r="C66" s="145"/>
      <c r="D66" s="74"/>
      <c r="E66" s="74"/>
      <c r="F66" s="69"/>
      <c r="G66" s="69"/>
      <c r="H66" s="69"/>
      <c r="I66" s="74"/>
      <c r="J66" s="74"/>
      <c r="K66" s="74"/>
      <c r="L66" s="74"/>
      <c r="M66" s="74"/>
      <c r="N66" s="74"/>
      <c r="O66" s="74"/>
      <c r="P66" s="74"/>
      <c r="Q66" s="74"/>
      <c r="R66" s="74"/>
      <c r="S66" s="112"/>
    </row>
    <row r="67" spans="2:19" ht="17.25" customHeight="1" x14ac:dyDescent="0.3">
      <c r="B67" s="71"/>
      <c r="C67" s="149"/>
      <c r="D67" s="74"/>
      <c r="E67" s="74"/>
      <c r="F67" s="72"/>
      <c r="G67" s="72"/>
      <c r="H67" s="72"/>
      <c r="I67" s="74"/>
      <c r="J67" s="74"/>
      <c r="K67" s="74"/>
      <c r="L67" s="74"/>
      <c r="M67" s="74"/>
      <c r="N67" s="74"/>
      <c r="O67" s="74"/>
      <c r="P67" s="74"/>
      <c r="Q67" s="74"/>
      <c r="R67" s="74"/>
      <c r="S67" s="112"/>
    </row>
    <row r="68" spans="2:19" ht="17.25" customHeight="1" x14ac:dyDescent="0.3">
      <c r="B68" s="71"/>
      <c r="C68" s="149"/>
      <c r="D68" s="74"/>
      <c r="E68" s="74"/>
      <c r="F68" s="72"/>
      <c r="G68" s="72"/>
      <c r="H68" s="72"/>
      <c r="I68" s="74"/>
      <c r="J68" s="74"/>
      <c r="K68" s="74"/>
      <c r="L68" s="74"/>
      <c r="M68" s="74"/>
      <c r="N68" s="74"/>
      <c r="O68" s="74"/>
      <c r="P68" s="74"/>
      <c r="Q68" s="74"/>
      <c r="R68" s="74"/>
      <c r="S68" s="112"/>
    </row>
    <row r="69" spans="2:19" ht="17.25" customHeight="1" x14ac:dyDescent="0.3">
      <c r="B69" s="71"/>
      <c r="C69" s="149"/>
      <c r="D69" s="74"/>
      <c r="E69" s="74"/>
      <c r="F69" s="72"/>
      <c r="G69" s="72"/>
      <c r="H69" s="72"/>
      <c r="I69" s="74"/>
      <c r="J69" s="74"/>
      <c r="K69" s="74"/>
      <c r="L69" s="74"/>
      <c r="M69" s="74"/>
      <c r="N69" s="74"/>
      <c r="O69" s="74"/>
      <c r="P69" s="74"/>
      <c r="Q69" s="74"/>
      <c r="R69" s="74"/>
      <c r="S69" s="112"/>
    </row>
    <row r="70" spans="2:19" ht="17.25" customHeight="1" x14ac:dyDescent="0.3">
      <c r="B70" s="71"/>
      <c r="C70" s="149"/>
      <c r="D70" s="74"/>
      <c r="E70" s="74"/>
      <c r="F70" s="72"/>
      <c r="G70" s="72"/>
      <c r="H70" s="72"/>
      <c r="I70" s="74"/>
      <c r="J70" s="74"/>
      <c r="K70" s="74"/>
      <c r="L70" s="74"/>
      <c r="M70" s="74"/>
      <c r="N70" s="74"/>
      <c r="O70" s="74"/>
      <c r="P70" s="74"/>
      <c r="Q70" s="74"/>
      <c r="R70" s="74"/>
      <c r="S70" s="112"/>
    </row>
    <row r="71" spans="2:19" ht="17.25" customHeight="1" x14ac:dyDescent="0.3">
      <c r="B71" s="109"/>
      <c r="C71" s="145"/>
      <c r="D71" s="74"/>
      <c r="E71" s="74"/>
      <c r="F71" s="69"/>
      <c r="G71" s="69"/>
      <c r="H71" s="69"/>
      <c r="I71" s="74"/>
      <c r="J71" s="74"/>
      <c r="K71" s="74"/>
      <c r="L71" s="74"/>
      <c r="M71" s="74"/>
      <c r="N71" s="74"/>
      <c r="O71" s="74"/>
      <c r="P71" s="74"/>
      <c r="Q71" s="74"/>
      <c r="R71" s="74"/>
      <c r="S71" s="112"/>
    </row>
    <row r="72" spans="2:19" ht="17.25" customHeight="1" x14ac:dyDescent="0.3">
      <c r="B72" s="71"/>
      <c r="C72" s="149"/>
      <c r="D72" s="74"/>
      <c r="E72" s="74"/>
      <c r="F72" s="72"/>
      <c r="G72" s="72"/>
      <c r="H72" s="72"/>
      <c r="I72" s="74"/>
      <c r="J72" s="74"/>
      <c r="K72" s="74"/>
      <c r="L72" s="74"/>
      <c r="M72" s="74"/>
      <c r="N72" s="74"/>
      <c r="O72" s="74"/>
      <c r="P72" s="74"/>
      <c r="Q72" s="74"/>
      <c r="R72" s="74"/>
      <c r="S72" s="112"/>
    </row>
    <row r="73" spans="2:19" ht="17.25" customHeight="1" x14ac:dyDescent="0.3">
      <c r="B73" s="71"/>
      <c r="C73" s="149"/>
      <c r="D73" s="74"/>
      <c r="E73" s="74"/>
      <c r="F73" s="72"/>
      <c r="G73" s="72"/>
      <c r="H73" s="72"/>
      <c r="I73" s="74"/>
      <c r="J73" s="74"/>
      <c r="K73" s="74"/>
      <c r="L73" s="74"/>
      <c r="M73" s="74"/>
      <c r="N73" s="74"/>
      <c r="O73" s="74"/>
      <c r="P73" s="74"/>
      <c r="Q73" s="74"/>
      <c r="R73" s="74"/>
      <c r="S73" s="112"/>
    </row>
    <row r="74" spans="2:19" ht="17.25" customHeight="1" x14ac:dyDescent="0.3">
      <c r="B74" s="71"/>
      <c r="C74" s="149"/>
      <c r="D74" s="74"/>
      <c r="E74" s="74"/>
      <c r="F74" s="72"/>
      <c r="G74" s="72"/>
      <c r="H74" s="72"/>
      <c r="I74" s="74"/>
      <c r="J74" s="74"/>
      <c r="K74" s="74"/>
      <c r="L74" s="74"/>
      <c r="M74" s="74"/>
      <c r="N74" s="74"/>
      <c r="O74" s="74"/>
      <c r="P74" s="74"/>
      <c r="Q74" s="74"/>
      <c r="R74" s="74"/>
      <c r="S74" s="112"/>
    </row>
    <row r="75" spans="2:19" ht="17.25" customHeight="1" x14ac:dyDescent="0.3">
      <c r="B75" s="71"/>
      <c r="C75" s="149"/>
      <c r="D75" s="74"/>
      <c r="E75" s="74"/>
      <c r="F75" s="72"/>
      <c r="G75" s="72"/>
      <c r="H75" s="72"/>
      <c r="I75" s="74"/>
      <c r="J75" s="74"/>
      <c r="K75" s="74"/>
      <c r="L75" s="74"/>
      <c r="M75" s="74"/>
      <c r="N75" s="74"/>
      <c r="O75" s="74"/>
      <c r="P75" s="74"/>
      <c r="Q75" s="74"/>
      <c r="R75" s="74"/>
      <c r="S75" s="112"/>
    </row>
    <row r="76" spans="2:19" ht="17.25" customHeight="1" x14ac:dyDescent="0.3">
      <c r="B76" s="71"/>
      <c r="C76" s="149"/>
      <c r="D76" s="74"/>
      <c r="E76" s="74"/>
      <c r="F76" s="72"/>
      <c r="G76" s="72"/>
      <c r="H76" s="72"/>
      <c r="I76" s="74"/>
      <c r="J76" s="74"/>
      <c r="K76" s="74"/>
      <c r="L76" s="74"/>
      <c r="M76" s="74"/>
      <c r="N76" s="74"/>
      <c r="O76" s="74"/>
      <c r="P76" s="74"/>
      <c r="Q76" s="74"/>
      <c r="R76" s="74"/>
      <c r="S76" s="112"/>
    </row>
    <row r="77" spans="2:19" ht="17.25" customHeight="1" x14ac:dyDescent="0.3">
      <c r="B77" s="71"/>
      <c r="C77" s="149"/>
      <c r="D77" s="74"/>
      <c r="E77" s="74"/>
      <c r="F77" s="72"/>
      <c r="G77" s="72"/>
      <c r="H77" s="72"/>
      <c r="I77" s="74"/>
      <c r="J77" s="74"/>
      <c r="K77" s="74"/>
      <c r="L77" s="74"/>
      <c r="M77" s="74"/>
      <c r="N77" s="74"/>
      <c r="O77" s="74"/>
      <c r="P77" s="74"/>
      <c r="Q77" s="74"/>
      <c r="R77" s="74"/>
      <c r="S77" s="112"/>
    </row>
    <row r="78" spans="2:19" ht="17.25" customHeight="1" x14ac:dyDescent="0.3">
      <c r="B78" s="109"/>
      <c r="C78" s="145"/>
      <c r="D78" s="74"/>
      <c r="E78" s="74"/>
      <c r="F78" s="69"/>
      <c r="G78" s="69"/>
      <c r="H78" s="69"/>
      <c r="I78" s="74"/>
      <c r="J78" s="74"/>
      <c r="K78" s="74"/>
      <c r="L78" s="74"/>
      <c r="M78" s="74"/>
      <c r="N78" s="74"/>
      <c r="O78" s="74"/>
      <c r="P78" s="74"/>
      <c r="Q78" s="74"/>
      <c r="R78" s="74"/>
      <c r="S78" s="112"/>
    </row>
    <row r="79" spans="2:19" ht="17.25" customHeight="1" x14ac:dyDescent="0.3">
      <c r="B79" s="71"/>
      <c r="C79" s="149"/>
      <c r="D79" s="74"/>
      <c r="E79" s="74"/>
      <c r="F79" s="72"/>
      <c r="G79" s="72"/>
      <c r="H79" s="72"/>
      <c r="I79" s="74"/>
      <c r="J79" s="74"/>
      <c r="K79" s="74"/>
      <c r="L79" s="74"/>
      <c r="M79" s="74"/>
      <c r="N79" s="74"/>
      <c r="O79" s="74"/>
      <c r="P79" s="74"/>
      <c r="Q79" s="74"/>
      <c r="R79" s="74"/>
      <c r="S79" s="112"/>
    </row>
    <row r="80" spans="2:19" ht="17.25" customHeight="1" x14ac:dyDescent="0.3">
      <c r="B80" s="71"/>
      <c r="C80" s="149"/>
      <c r="D80" s="74"/>
      <c r="E80" s="74"/>
      <c r="F80" s="72"/>
      <c r="G80" s="72"/>
      <c r="H80" s="72"/>
      <c r="I80" s="74"/>
      <c r="J80" s="74"/>
      <c r="K80" s="74"/>
      <c r="L80" s="74"/>
      <c r="M80" s="74"/>
      <c r="N80" s="74"/>
      <c r="O80" s="74"/>
      <c r="P80" s="74"/>
      <c r="Q80" s="74"/>
      <c r="R80" s="74"/>
      <c r="S80" s="112"/>
    </row>
    <row r="81" spans="2:19" ht="17.25" customHeight="1" x14ac:dyDescent="0.3">
      <c r="B81" s="109"/>
      <c r="C81" s="145"/>
      <c r="D81" s="74"/>
      <c r="E81" s="74"/>
      <c r="F81" s="69"/>
      <c r="G81" s="69"/>
      <c r="H81" s="69"/>
      <c r="I81" s="74"/>
      <c r="J81" s="74"/>
      <c r="K81" s="74"/>
      <c r="L81" s="74"/>
      <c r="M81" s="74"/>
      <c r="N81" s="74"/>
      <c r="O81" s="74"/>
      <c r="P81" s="74"/>
      <c r="Q81" s="74"/>
      <c r="R81" s="74"/>
      <c r="S81" s="112"/>
    </row>
    <row r="82" spans="2:19" ht="17.25" customHeight="1" x14ac:dyDescent="0.3">
      <c r="B82" s="71"/>
      <c r="C82" s="149"/>
      <c r="D82" s="74"/>
      <c r="E82" s="74"/>
      <c r="F82" s="72"/>
      <c r="G82" s="72"/>
      <c r="H82" s="72"/>
      <c r="I82" s="74"/>
      <c r="J82" s="74"/>
      <c r="K82" s="74"/>
      <c r="L82" s="74"/>
      <c r="M82" s="74"/>
      <c r="N82" s="74"/>
      <c r="O82" s="74"/>
      <c r="P82" s="74"/>
      <c r="Q82" s="74"/>
      <c r="R82" s="74"/>
      <c r="S82" s="112"/>
    </row>
    <row r="83" spans="2:19" ht="17.25" customHeight="1" x14ac:dyDescent="0.3">
      <c r="B83" s="71"/>
      <c r="C83" s="149"/>
      <c r="D83" s="74"/>
      <c r="E83" s="74"/>
      <c r="F83" s="72"/>
      <c r="G83" s="72"/>
      <c r="H83" s="72"/>
      <c r="I83" s="74"/>
      <c r="J83" s="74"/>
      <c r="K83" s="74"/>
      <c r="L83" s="74"/>
      <c r="M83" s="74"/>
      <c r="N83" s="74"/>
      <c r="O83" s="74"/>
      <c r="P83" s="74"/>
      <c r="Q83" s="74"/>
      <c r="R83" s="74"/>
      <c r="S83" s="112"/>
    </row>
    <row r="84" spans="2:19" ht="17.25" customHeight="1" x14ac:dyDescent="0.3">
      <c r="B84" s="71"/>
      <c r="C84" s="149"/>
      <c r="D84" s="74"/>
      <c r="E84" s="74"/>
      <c r="F84" s="72"/>
      <c r="G84" s="72"/>
      <c r="H84" s="72"/>
      <c r="I84" s="74"/>
      <c r="J84" s="74"/>
      <c r="K84" s="74"/>
      <c r="L84" s="74"/>
      <c r="M84" s="74"/>
      <c r="N84" s="74"/>
      <c r="O84" s="74"/>
      <c r="P84" s="74"/>
      <c r="Q84" s="74"/>
      <c r="R84" s="74"/>
      <c r="S84" s="112"/>
    </row>
    <row r="85" spans="2:19" ht="17.25" customHeight="1" x14ac:dyDescent="0.3">
      <c r="B85" s="71"/>
      <c r="C85" s="149"/>
      <c r="D85" s="74"/>
      <c r="E85" s="74"/>
      <c r="F85" s="72"/>
      <c r="G85" s="72"/>
      <c r="H85" s="72"/>
      <c r="I85" s="74"/>
      <c r="J85" s="74"/>
      <c r="K85" s="74"/>
      <c r="L85" s="74"/>
      <c r="M85" s="74"/>
      <c r="N85" s="74"/>
      <c r="O85" s="74"/>
      <c r="P85" s="74"/>
      <c r="Q85" s="74"/>
      <c r="R85" s="74"/>
      <c r="S85" s="112"/>
    </row>
    <row r="86" spans="2:19" s="178" customFormat="1" ht="17.25" customHeight="1" x14ac:dyDescent="0.3">
      <c r="B86" s="172"/>
      <c r="C86" s="173"/>
      <c r="D86" s="174"/>
      <c r="E86" s="174"/>
      <c r="F86" s="175"/>
      <c r="G86" s="175"/>
      <c r="H86" s="175"/>
      <c r="I86" s="176"/>
      <c r="J86" s="176"/>
      <c r="K86" s="176"/>
      <c r="L86" s="176"/>
      <c r="M86" s="176"/>
      <c r="N86" s="176"/>
      <c r="O86" s="176"/>
      <c r="P86" s="176"/>
      <c r="Q86" s="176"/>
      <c r="R86" s="176"/>
      <c r="S86" s="177"/>
    </row>
    <row r="87" spans="2:19" ht="17.25" customHeight="1" x14ac:dyDescent="0.3">
      <c r="B87" s="71"/>
      <c r="C87" s="149"/>
      <c r="D87" s="74"/>
      <c r="E87" s="74"/>
      <c r="F87" s="72"/>
      <c r="G87" s="72"/>
      <c r="H87" s="72"/>
      <c r="I87" s="74"/>
      <c r="J87" s="74"/>
      <c r="K87" s="74"/>
      <c r="L87" s="74"/>
      <c r="M87" s="74"/>
      <c r="N87" s="74"/>
      <c r="O87" s="812"/>
      <c r="P87" s="813"/>
      <c r="Q87" s="74"/>
      <c r="R87" s="74"/>
      <c r="S87" s="112"/>
    </row>
    <row r="88" spans="2:19" ht="17.25" customHeight="1" x14ac:dyDescent="0.3">
      <c r="B88" s="75"/>
      <c r="C88" s="150"/>
      <c r="D88" s="77"/>
      <c r="E88" s="77"/>
      <c r="F88" s="76"/>
      <c r="G88" s="76"/>
      <c r="H88" s="76"/>
      <c r="I88" s="77"/>
      <c r="J88" s="77"/>
      <c r="K88" s="77"/>
      <c r="L88" s="77"/>
      <c r="M88" s="77"/>
      <c r="N88" s="77"/>
      <c r="O88" s="814"/>
      <c r="P88" s="815"/>
      <c r="Q88" s="179"/>
      <c r="R88" s="179"/>
      <c r="S88" s="113"/>
    </row>
    <row r="89" spans="2:19" ht="17.25" customHeight="1" x14ac:dyDescent="0.3">
      <c r="B89" s="71"/>
      <c r="C89" s="149"/>
      <c r="D89" s="74"/>
      <c r="E89" s="74"/>
      <c r="F89" s="72"/>
      <c r="G89" s="72"/>
      <c r="H89" s="72"/>
      <c r="I89" s="74"/>
      <c r="J89" s="74"/>
      <c r="K89" s="74"/>
      <c r="L89" s="74"/>
      <c r="M89" s="74"/>
      <c r="N89" s="74"/>
      <c r="O89" s="74"/>
      <c r="P89" s="74"/>
      <c r="Q89" s="74"/>
      <c r="R89" s="74"/>
      <c r="S89" s="112"/>
    </row>
    <row r="90" spans="2:19" x14ac:dyDescent="0.3">
      <c r="B90" s="169"/>
      <c r="C90" s="170"/>
      <c r="D90" s="69"/>
      <c r="E90" s="69"/>
      <c r="F90" s="69"/>
      <c r="G90" s="69"/>
      <c r="H90" s="69"/>
      <c r="I90" s="73"/>
      <c r="J90" s="70"/>
      <c r="K90" s="73"/>
      <c r="L90" s="73"/>
      <c r="M90" s="70"/>
      <c r="N90" s="73"/>
      <c r="O90" s="73"/>
      <c r="P90" s="73"/>
      <c r="Q90" s="73"/>
      <c r="R90" s="73"/>
      <c r="S90" s="171"/>
    </row>
    <row r="91" spans="2:19" ht="17.25" customHeight="1" x14ac:dyDescent="0.3">
      <c r="B91" s="109"/>
      <c r="C91" s="145"/>
      <c r="D91" s="74"/>
      <c r="E91" s="74"/>
      <c r="F91" s="69"/>
      <c r="G91" s="69"/>
      <c r="H91" s="69"/>
      <c r="I91" s="74"/>
      <c r="J91" s="74"/>
      <c r="K91" s="74"/>
      <c r="L91" s="74"/>
      <c r="M91" s="74"/>
      <c r="N91" s="74"/>
      <c r="O91" s="74"/>
      <c r="P91" s="74"/>
      <c r="Q91" s="74"/>
      <c r="R91" s="74"/>
      <c r="S91" s="112"/>
    </row>
    <row r="92" spans="2:19" ht="17.25" customHeight="1" x14ac:dyDescent="0.3">
      <c r="B92" s="71"/>
      <c r="C92" s="149"/>
      <c r="D92" s="74"/>
      <c r="E92" s="74"/>
      <c r="F92" s="72"/>
      <c r="G92" s="72"/>
      <c r="H92" s="72"/>
      <c r="I92" s="74"/>
      <c r="J92" s="74"/>
      <c r="K92" s="74"/>
      <c r="L92" s="74"/>
      <c r="M92" s="74"/>
      <c r="N92" s="74"/>
      <c r="O92" s="74"/>
      <c r="P92" s="74"/>
      <c r="Q92" s="74"/>
      <c r="R92" s="74"/>
      <c r="S92" s="112"/>
    </row>
    <row r="93" spans="2:19" ht="17.25" customHeight="1" x14ac:dyDescent="0.3">
      <c r="B93" s="71"/>
      <c r="C93" s="149"/>
      <c r="D93" s="74"/>
      <c r="E93" s="74"/>
      <c r="F93" s="72"/>
      <c r="G93" s="72"/>
      <c r="H93" s="72"/>
      <c r="I93" s="74"/>
      <c r="J93" s="74"/>
      <c r="K93" s="74"/>
      <c r="L93" s="74"/>
      <c r="M93" s="74"/>
      <c r="N93" s="74"/>
      <c r="O93" s="74"/>
      <c r="P93" s="74"/>
      <c r="Q93" s="74"/>
      <c r="R93" s="74"/>
      <c r="S93" s="112"/>
    </row>
    <row r="94" spans="2:19" ht="17.25" customHeight="1" x14ac:dyDescent="0.3">
      <c r="B94" s="71"/>
      <c r="C94" s="149"/>
      <c r="D94" s="74"/>
      <c r="E94" s="74"/>
      <c r="F94" s="72"/>
      <c r="G94" s="72"/>
      <c r="H94" s="72"/>
      <c r="I94" s="74"/>
      <c r="J94" s="74"/>
      <c r="K94" s="74"/>
      <c r="L94" s="74"/>
      <c r="M94" s="74"/>
      <c r="N94" s="74"/>
      <c r="O94" s="74"/>
      <c r="P94" s="74"/>
      <c r="Q94" s="74"/>
      <c r="R94" s="74"/>
      <c r="S94" s="112"/>
    </row>
    <row r="95" spans="2:19" ht="17.25" customHeight="1" x14ac:dyDescent="0.3">
      <c r="B95" s="71"/>
      <c r="C95" s="149"/>
      <c r="D95" s="74"/>
      <c r="E95" s="74"/>
      <c r="F95" s="72"/>
      <c r="G95" s="72"/>
      <c r="H95" s="72"/>
      <c r="I95" s="74"/>
      <c r="J95" s="74"/>
      <c r="K95" s="74"/>
      <c r="L95" s="74"/>
      <c r="M95" s="74"/>
      <c r="N95" s="74"/>
      <c r="O95" s="74"/>
      <c r="P95" s="74"/>
      <c r="Q95" s="74"/>
      <c r="R95" s="74"/>
      <c r="S95" s="112"/>
    </row>
    <row r="96" spans="2:19" ht="17.25" customHeight="1" x14ac:dyDescent="0.3">
      <c r="B96" s="71"/>
      <c r="C96" s="149"/>
      <c r="D96" s="74"/>
      <c r="E96" s="74"/>
      <c r="F96" s="72"/>
      <c r="G96" s="72"/>
      <c r="H96" s="72"/>
      <c r="I96" s="74"/>
      <c r="J96" s="74"/>
      <c r="K96" s="74"/>
      <c r="L96" s="74"/>
      <c r="M96" s="74"/>
      <c r="N96" s="74"/>
      <c r="O96" s="74"/>
      <c r="P96" s="74"/>
      <c r="Q96" s="74"/>
      <c r="R96" s="74"/>
      <c r="S96" s="112"/>
    </row>
    <row r="97" spans="2:19" ht="17.25" customHeight="1" x14ac:dyDescent="0.3">
      <c r="B97" s="71"/>
      <c r="C97" s="149"/>
      <c r="D97" s="74"/>
      <c r="E97" s="74"/>
      <c r="F97" s="72"/>
      <c r="G97" s="72"/>
      <c r="H97" s="72"/>
      <c r="I97" s="74"/>
      <c r="J97" s="74"/>
      <c r="K97" s="74"/>
      <c r="L97" s="74"/>
      <c r="M97" s="74"/>
      <c r="N97" s="74"/>
      <c r="O97" s="74"/>
      <c r="P97" s="74"/>
      <c r="Q97" s="74"/>
      <c r="R97" s="74"/>
      <c r="S97" s="112"/>
    </row>
    <row r="98" spans="2:19" ht="17.25" customHeight="1" x14ac:dyDescent="0.3">
      <c r="B98" s="109"/>
      <c r="C98" s="145"/>
      <c r="D98" s="74"/>
      <c r="E98" s="74"/>
      <c r="F98" s="69"/>
      <c r="G98" s="69"/>
      <c r="H98" s="69"/>
      <c r="I98" s="74"/>
      <c r="J98" s="74"/>
      <c r="K98" s="74"/>
      <c r="L98" s="74"/>
      <c r="M98" s="74"/>
      <c r="N98" s="74"/>
      <c r="O98" s="74"/>
      <c r="P98" s="74"/>
      <c r="Q98" s="74"/>
      <c r="R98" s="74"/>
      <c r="S98" s="112"/>
    </row>
    <row r="99" spans="2:19" ht="17.25" customHeight="1" x14ac:dyDescent="0.3">
      <c r="B99" s="71"/>
      <c r="C99" s="149"/>
      <c r="D99" s="74"/>
      <c r="E99" s="74"/>
      <c r="F99" s="72"/>
      <c r="G99" s="72"/>
      <c r="H99" s="72"/>
      <c r="I99" s="74"/>
      <c r="J99" s="74"/>
      <c r="K99" s="74"/>
      <c r="L99" s="74"/>
      <c r="M99" s="74"/>
      <c r="N99" s="74"/>
      <c r="O99" s="74"/>
      <c r="P99" s="74"/>
      <c r="Q99" s="74"/>
      <c r="R99" s="74"/>
      <c r="S99" s="112"/>
    </row>
    <row r="100" spans="2:19" ht="17.25" customHeight="1" x14ac:dyDescent="0.3">
      <c r="B100" s="71"/>
      <c r="C100" s="149"/>
      <c r="D100" s="74"/>
      <c r="E100" s="74"/>
      <c r="F100" s="72"/>
      <c r="G100" s="72"/>
      <c r="H100" s="72"/>
      <c r="I100" s="74"/>
      <c r="J100" s="74"/>
      <c r="K100" s="74"/>
      <c r="L100" s="74"/>
      <c r="M100" s="74"/>
      <c r="N100" s="74"/>
      <c r="O100" s="74"/>
      <c r="P100" s="74"/>
      <c r="Q100" s="74"/>
      <c r="R100" s="74"/>
      <c r="S100" s="112"/>
    </row>
    <row r="101" spans="2:19" ht="17.25" customHeight="1" x14ac:dyDescent="0.3">
      <c r="B101" s="71"/>
      <c r="C101" s="149"/>
      <c r="D101" s="74"/>
      <c r="E101" s="74"/>
      <c r="F101" s="72"/>
      <c r="G101" s="72"/>
      <c r="H101" s="72"/>
      <c r="I101" s="74"/>
      <c r="J101" s="74"/>
      <c r="K101" s="74"/>
      <c r="L101" s="74"/>
      <c r="M101" s="74"/>
      <c r="N101" s="74"/>
      <c r="O101" s="74"/>
      <c r="P101" s="74"/>
      <c r="Q101" s="74"/>
      <c r="R101" s="74"/>
      <c r="S101" s="112"/>
    </row>
    <row r="102" spans="2:19" ht="17.25" customHeight="1" x14ac:dyDescent="0.3">
      <c r="B102" s="71"/>
      <c r="C102" s="149"/>
      <c r="D102" s="74"/>
      <c r="E102" s="74"/>
      <c r="F102" s="72"/>
      <c r="G102" s="72"/>
      <c r="H102" s="72"/>
      <c r="I102" s="74"/>
      <c r="J102" s="74"/>
      <c r="K102" s="74"/>
      <c r="L102" s="74"/>
      <c r="M102" s="74"/>
      <c r="N102" s="74"/>
      <c r="O102" s="74"/>
      <c r="P102" s="74"/>
      <c r="Q102" s="74"/>
      <c r="R102" s="74"/>
      <c r="S102" s="112"/>
    </row>
    <row r="103" spans="2:19" ht="17.25" customHeight="1" x14ac:dyDescent="0.3">
      <c r="B103" s="109"/>
      <c r="C103" s="145"/>
      <c r="D103" s="74"/>
      <c r="E103" s="74"/>
      <c r="F103" s="69"/>
      <c r="G103" s="69"/>
      <c r="H103" s="69"/>
      <c r="I103" s="74"/>
      <c r="J103" s="74"/>
      <c r="K103" s="74"/>
      <c r="L103" s="74"/>
      <c r="M103" s="74"/>
      <c r="N103" s="74"/>
      <c r="O103" s="74"/>
      <c r="P103" s="74"/>
      <c r="Q103" s="74"/>
      <c r="R103" s="74"/>
      <c r="S103" s="112"/>
    </row>
    <row r="104" spans="2:19" ht="17.25" customHeight="1" x14ac:dyDescent="0.3">
      <c r="B104" s="71"/>
      <c r="C104" s="149"/>
      <c r="D104" s="74"/>
      <c r="E104" s="74"/>
      <c r="F104" s="72"/>
      <c r="G104" s="72"/>
      <c r="H104" s="72"/>
      <c r="I104" s="74"/>
      <c r="J104" s="74"/>
      <c r="K104" s="74"/>
      <c r="L104" s="74"/>
      <c r="M104" s="74"/>
      <c r="N104" s="74"/>
      <c r="O104" s="74"/>
      <c r="P104" s="74"/>
      <c r="Q104" s="74"/>
      <c r="R104" s="74"/>
      <c r="S104" s="112"/>
    </row>
    <row r="105" spans="2:19" ht="17.25" customHeight="1" x14ac:dyDescent="0.3">
      <c r="B105" s="71"/>
      <c r="C105" s="149"/>
      <c r="D105" s="74"/>
      <c r="E105" s="74"/>
      <c r="F105" s="72"/>
      <c r="G105" s="72"/>
      <c r="H105" s="72"/>
      <c r="I105" s="74"/>
      <c r="J105" s="74"/>
      <c r="K105" s="74"/>
      <c r="L105" s="74"/>
      <c r="M105" s="74"/>
      <c r="N105" s="74"/>
      <c r="O105" s="74"/>
      <c r="P105" s="74"/>
      <c r="Q105" s="74"/>
      <c r="R105" s="74"/>
      <c r="S105" s="112"/>
    </row>
    <row r="106" spans="2:19" ht="17.25" customHeight="1" x14ac:dyDescent="0.3">
      <c r="B106" s="71"/>
      <c r="C106" s="149"/>
      <c r="D106" s="74"/>
      <c r="E106" s="74"/>
      <c r="F106" s="72"/>
      <c r="G106" s="72"/>
      <c r="H106" s="72"/>
      <c r="I106" s="74"/>
      <c r="J106" s="74"/>
      <c r="K106" s="74"/>
      <c r="L106" s="74"/>
      <c r="M106" s="74"/>
      <c r="N106" s="74"/>
      <c r="O106" s="74"/>
      <c r="P106" s="74"/>
      <c r="Q106" s="74"/>
      <c r="R106" s="74"/>
      <c r="S106" s="112"/>
    </row>
    <row r="107" spans="2:19" ht="17.25" customHeight="1" x14ac:dyDescent="0.3">
      <c r="B107" s="71"/>
      <c r="C107" s="149"/>
      <c r="D107" s="74"/>
      <c r="E107" s="74"/>
      <c r="F107" s="72"/>
      <c r="G107" s="72"/>
      <c r="H107" s="72"/>
      <c r="I107" s="74"/>
      <c r="J107" s="74"/>
      <c r="K107" s="74"/>
      <c r="L107" s="74"/>
      <c r="M107" s="74"/>
      <c r="N107" s="74"/>
      <c r="O107" s="74"/>
      <c r="P107" s="74"/>
      <c r="Q107" s="74"/>
      <c r="R107" s="74"/>
      <c r="S107" s="112"/>
    </row>
    <row r="108" spans="2:19" ht="17.25" customHeight="1" x14ac:dyDescent="0.3">
      <c r="B108" s="109"/>
      <c r="C108" s="145"/>
      <c r="D108" s="74"/>
      <c r="E108" s="74"/>
      <c r="F108" s="69"/>
      <c r="G108" s="69"/>
      <c r="H108" s="69"/>
      <c r="I108" s="74"/>
      <c r="J108" s="74"/>
      <c r="K108" s="74"/>
      <c r="L108" s="74"/>
      <c r="M108" s="74"/>
      <c r="N108" s="74"/>
      <c r="O108" s="74"/>
      <c r="P108" s="74"/>
      <c r="Q108" s="74"/>
      <c r="R108" s="74"/>
      <c r="S108" s="112"/>
    </row>
    <row r="109" spans="2:19" ht="17.25" customHeight="1" x14ac:dyDescent="0.3">
      <c r="B109" s="71"/>
      <c r="C109" s="149"/>
      <c r="D109" s="74"/>
      <c r="E109" s="74"/>
      <c r="F109" s="72"/>
      <c r="G109" s="72"/>
      <c r="H109" s="72"/>
      <c r="I109" s="74"/>
      <c r="J109" s="74"/>
      <c r="K109" s="74"/>
      <c r="L109" s="74"/>
      <c r="M109" s="74"/>
      <c r="N109" s="74"/>
      <c r="O109" s="74"/>
      <c r="P109" s="74"/>
      <c r="Q109" s="74"/>
      <c r="R109" s="74"/>
      <c r="S109" s="112"/>
    </row>
    <row r="110" spans="2:19" ht="17.25" customHeight="1" x14ac:dyDescent="0.3">
      <c r="B110" s="71"/>
      <c r="C110" s="149"/>
      <c r="D110" s="74"/>
      <c r="E110" s="74"/>
      <c r="F110" s="72"/>
      <c r="G110" s="72"/>
      <c r="H110" s="72"/>
      <c r="I110" s="74"/>
      <c r="J110" s="74"/>
      <c r="K110" s="74"/>
      <c r="L110" s="74"/>
      <c r="M110" s="74"/>
      <c r="N110" s="74"/>
      <c r="O110" s="74"/>
      <c r="P110" s="74"/>
      <c r="Q110" s="74"/>
      <c r="R110" s="74"/>
      <c r="S110" s="112"/>
    </row>
    <row r="111" spans="2:19" ht="17.25" customHeight="1" x14ac:dyDescent="0.3">
      <c r="B111" s="71"/>
      <c r="C111" s="149"/>
      <c r="D111" s="74"/>
      <c r="E111" s="74"/>
      <c r="F111" s="72"/>
      <c r="G111" s="72"/>
      <c r="H111" s="72"/>
      <c r="I111" s="74"/>
      <c r="J111" s="74"/>
      <c r="K111" s="74"/>
      <c r="L111" s="74"/>
      <c r="M111" s="74"/>
      <c r="N111" s="74"/>
      <c r="O111" s="74"/>
      <c r="P111" s="74"/>
      <c r="Q111" s="74"/>
      <c r="R111" s="74"/>
      <c r="S111" s="112"/>
    </row>
    <row r="112" spans="2:19" ht="17.25" customHeight="1" x14ac:dyDescent="0.3">
      <c r="B112" s="71"/>
      <c r="C112" s="149"/>
      <c r="D112" s="74"/>
      <c r="E112" s="74"/>
      <c r="F112" s="72"/>
      <c r="G112" s="72"/>
      <c r="H112" s="72"/>
      <c r="I112" s="74"/>
      <c r="J112" s="74"/>
      <c r="K112" s="74"/>
      <c r="L112" s="74"/>
      <c r="M112" s="74"/>
      <c r="N112" s="74"/>
      <c r="O112" s="74"/>
      <c r="P112" s="74"/>
      <c r="Q112" s="74"/>
      <c r="R112" s="74"/>
      <c r="S112" s="112"/>
    </row>
    <row r="113" spans="2:19" ht="17.25" customHeight="1" x14ac:dyDescent="0.3">
      <c r="B113" s="71"/>
      <c r="C113" s="149"/>
      <c r="D113" s="74"/>
      <c r="E113" s="74"/>
      <c r="F113" s="72"/>
      <c r="G113" s="72"/>
      <c r="H113" s="72"/>
      <c r="I113" s="74"/>
      <c r="J113" s="74"/>
      <c r="K113" s="74"/>
      <c r="L113" s="74"/>
      <c r="M113" s="74"/>
      <c r="N113" s="74"/>
      <c r="O113" s="74"/>
      <c r="P113" s="74"/>
      <c r="Q113" s="74"/>
      <c r="R113" s="74"/>
      <c r="S113" s="112"/>
    </row>
    <row r="114" spans="2:19" ht="17.25" customHeight="1" x14ac:dyDescent="0.3">
      <c r="B114" s="71"/>
      <c r="C114" s="149"/>
      <c r="D114" s="74"/>
      <c r="E114" s="74"/>
      <c r="F114" s="72"/>
      <c r="G114" s="72"/>
      <c r="H114" s="72"/>
      <c r="I114" s="74"/>
      <c r="J114" s="74"/>
      <c r="K114" s="74"/>
      <c r="L114" s="74"/>
      <c r="M114" s="74"/>
      <c r="N114" s="74"/>
      <c r="O114" s="74"/>
      <c r="P114" s="74"/>
      <c r="Q114" s="74"/>
      <c r="R114" s="74"/>
      <c r="S114" s="112"/>
    </row>
    <row r="115" spans="2:19" ht="17.25" customHeight="1" x14ac:dyDescent="0.3">
      <c r="B115" s="109"/>
      <c r="C115" s="145"/>
      <c r="D115" s="74"/>
      <c r="E115" s="74"/>
      <c r="F115" s="69"/>
      <c r="G115" s="69"/>
      <c r="H115" s="69"/>
      <c r="I115" s="74"/>
      <c r="J115" s="74"/>
      <c r="K115" s="74"/>
      <c r="L115" s="74"/>
      <c r="M115" s="74"/>
      <c r="N115" s="74"/>
      <c r="O115" s="74"/>
      <c r="P115" s="74"/>
      <c r="Q115" s="74"/>
      <c r="R115" s="74"/>
      <c r="S115" s="112"/>
    </row>
    <row r="116" spans="2:19" ht="17.25" customHeight="1" x14ac:dyDescent="0.3">
      <c r="B116" s="71"/>
      <c r="C116" s="149"/>
      <c r="D116" s="74"/>
      <c r="E116" s="74"/>
      <c r="F116" s="72"/>
      <c r="G116" s="72"/>
      <c r="H116" s="72"/>
      <c r="I116" s="74"/>
      <c r="J116" s="74"/>
      <c r="K116" s="74"/>
      <c r="L116" s="74"/>
      <c r="M116" s="74"/>
      <c r="N116" s="74"/>
      <c r="O116" s="74"/>
      <c r="P116" s="74"/>
      <c r="Q116" s="74"/>
      <c r="R116" s="74"/>
      <c r="S116" s="112"/>
    </row>
    <row r="117" spans="2:19" ht="17.25" customHeight="1" x14ac:dyDescent="0.3">
      <c r="B117" s="71"/>
      <c r="C117" s="149"/>
      <c r="D117" s="74"/>
      <c r="E117" s="74"/>
      <c r="F117" s="72"/>
      <c r="G117" s="72"/>
      <c r="H117" s="72"/>
      <c r="I117" s="74"/>
      <c r="J117" s="74"/>
      <c r="K117" s="74"/>
      <c r="L117" s="74"/>
      <c r="M117" s="74"/>
      <c r="N117" s="74"/>
      <c r="O117" s="74"/>
      <c r="P117" s="74"/>
      <c r="Q117" s="74"/>
      <c r="R117" s="74"/>
      <c r="S117" s="112"/>
    </row>
    <row r="118" spans="2:19" ht="17.25" customHeight="1" x14ac:dyDescent="0.3">
      <c r="B118" s="71"/>
      <c r="C118" s="149"/>
      <c r="D118" s="74"/>
      <c r="E118" s="74"/>
      <c r="F118" s="72"/>
      <c r="G118" s="72"/>
      <c r="H118" s="72"/>
      <c r="I118" s="74"/>
      <c r="J118" s="74"/>
      <c r="K118" s="74"/>
      <c r="L118" s="74"/>
      <c r="M118" s="74"/>
      <c r="N118" s="74"/>
      <c r="O118" s="74"/>
      <c r="P118" s="74"/>
      <c r="Q118" s="74"/>
      <c r="R118" s="74"/>
      <c r="S118" s="112"/>
    </row>
    <row r="119" spans="2:19" ht="17.25" customHeight="1" x14ac:dyDescent="0.3">
      <c r="B119" s="71"/>
      <c r="C119" s="149"/>
      <c r="D119" s="74"/>
      <c r="E119" s="74"/>
      <c r="F119" s="72"/>
      <c r="G119" s="72"/>
      <c r="H119" s="72"/>
      <c r="I119" s="74"/>
      <c r="J119" s="74"/>
      <c r="K119" s="74"/>
      <c r="L119" s="74"/>
      <c r="M119" s="74"/>
      <c r="N119" s="74"/>
      <c r="O119" s="74"/>
      <c r="P119" s="74"/>
      <c r="Q119" s="74"/>
      <c r="R119" s="74"/>
      <c r="S119" s="112"/>
    </row>
    <row r="120" spans="2:19" ht="17.25" customHeight="1" x14ac:dyDescent="0.3">
      <c r="B120" s="109"/>
      <c r="C120" s="145"/>
      <c r="D120" s="74"/>
      <c r="E120" s="74"/>
      <c r="F120" s="69"/>
      <c r="G120" s="69"/>
      <c r="H120" s="69"/>
      <c r="I120" s="74"/>
      <c r="J120" s="74"/>
      <c r="K120" s="74"/>
      <c r="L120" s="74"/>
      <c r="M120" s="74"/>
      <c r="N120" s="74"/>
      <c r="O120" s="74"/>
      <c r="P120" s="74"/>
      <c r="Q120" s="74"/>
      <c r="R120" s="74"/>
      <c r="S120" s="112"/>
    </row>
    <row r="121" spans="2:19" ht="17.25" customHeight="1" x14ac:dyDescent="0.3">
      <c r="B121" s="71"/>
      <c r="C121" s="149"/>
      <c r="D121" s="74"/>
      <c r="E121" s="74"/>
      <c r="F121" s="72"/>
      <c r="G121" s="72"/>
      <c r="H121" s="72"/>
      <c r="I121" s="74"/>
      <c r="J121" s="74"/>
      <c r="K121" s="74"/>
      <c r="L121" s="74"/>
      <c r="M121" s="74"/>
      <c r="N121" s="74"/>
      <c r="O121" s="74"/>
      <c r="P121" s="74"/>
      <c r="Q121" s="74"/>
      <c r="R121" s="74"/>
      <c r="S121" s="112"/>
    </row>
    <row r="122" spans="2:19" ht="17.25" customHeight="1" x14ac:dyDescent="0.3">
      <c r="B122" s="71"/>
      <c r="C122" s="149"/>
      <c r="D122" s="74"/>
      <c r="E122" s="74"/>
      <c r="F122" s="72"/>
      <c r="G122" s="72"/>
      <c r="H122" s="72"/>
      <c r="I122" s="74"/>
      <c r="J122" s="74"/>
      <c r="K122" s="74"/>
      <c r="L122" s="74"/>
      <c r="M122" s="74"/>
      <c r="N122" s="74"/>
      <c r="O122" s="74"/>
      <c r="P122" s="74"/>
      <c r="Q122" s="74"/>
      <c r="R122" s="74"/>
      <c r="S122" s="112"/>
    </row>
    <row r="123" spans="2:19" ht="17.25" customHeight="1" x14ac:dyDescent="0.3">
      <c r="B123" s="71"/>
      <c r="C123" s="149"/>
      <c r="D123" s="74"/>
      <c r="E123" s="74"/>
      <c r="F123" s="72"/>
      <c r="G123" s="72"/>
      <c r="H123" s="72"/>
      <c r="I123" s="74"/>
      <c r="J123" s="74"/>
      <c r="K123" s="74"/>
      <c r="L123" s="74"/>
      <c r="M123" s="74"/>
      <c r="N123" s="74"/>
      <c r="O123" s="74"/>
      <c r="P123" s="74"/>
      <c r="Q123" s="74"/>
      <c r="R123" s="74"/>
      <c r="S123" s="112"/>
    </row>
    <row r="124" spans="2:19" ht="17.25" customHeight="1" x14ac:dyDescent="0.3">
      <c r="B124" s="71"/>
      <c r="C124" s="149"/>
      <c r="D124" s="74"/>
      <c r="E124" s="74"/>
      <c r="F124" s="72"/>
      <c r="G124" s="72"/>
      <c r="H124" s="72"/>
      <c r="I124" s="74"/>
      <c r="J124" s="74"/>
      <c r="K124" s="74"/>
      <c r="L124" s="74"/>
      <c r="M124" s="74"/>
      <c r="N124" s="74"/>
      <c r="O124" s="74"/>
      <c r="P124" s="74"/>
      <c r="Q124" s="74"/>
      <c r="R124" s="74"/>
      <c r="S124" s="112"/>
    </row>
    <row r="125" spans="2:19" ht="17.25" customHeight="1" x14ac:dyDescent="0.3">
      <c r="B125" s="109"/>
      <c r="C125" s="145"/>
      <c r="D125" s="74"/>
      <c r="E125" s="74"/>
      <c r="F125" s="69"/>
      <c r="G125" s="69"/>
      <c r="H125" s="69"/>
      <c r="I125" s="74"/>
      <c r="J125" s="74"/>
      <c r="K125" s="74"/>
      <c r="L125" s="74"/>
      <c r="M125" s="74"/>
      <c r="N125" s="74"/>
      <c r="O125" s="74"/>
      <c r="P125" s="74"/>
      <c r="Q125" s="74"/>
      <c r="R125" s="74"/>
      <c r="S125" s="112"/>
    </row>
    <row r="126" spans="2:19" ht="17.25" customHeight="1" x14ac:dyDescent="0.3">
      <c r="B126" s="71"/>
      <c r="C126" s="149"/>
      <c r="D126" s="74"/>
      <c r="E126" s="74"/>
      <c r="F126" s="72"/>
      <c r="G126" s="72"/>
      <c r="H126" s="72"/>
      <c r="I126" s="74"/>
      <c r="J126" s="74"/>
      <c r="K126" s="74"/>
      <c r="L126" s="74"/>
      <c r="M126" s="74"/>
      <c r="N126" s="74"/>
      <c r="O126" s="74"/>
      <c r="P126" s="74"/>
      <c r="Q126" s="74"/>
      <c r="R126" s="74"/>
      <c r="S126" s="112"/>
    </row>
    <row r="127" spans="2:19" ht="17.25" customHeight="1" x14ac:dyDescent="0.3">
      <c r="B127" s="71"/>
      <c r="C127" s="149"/>
      <c r="D127" s="74"/>
      <c r="E127" s="74"/>
      <c r="F127" s="72"/>
      <c r="G127" s="72"/>
      <c r="H127" s="72"/>
      <c r="I127" s="74"/>
      <c r="J127" s="74"/>
      <c r="K127" s="74"/>
      <c r="L127" s="74"/>
      <c r="M127" s="74"/>
      <c r="N127" s="74"/>
      <c r="O127" s="74"/>
      <c r="P127" s="74"/>
      <c r="Q127" s="74"/>
      <c r="R127" s="74"/>
      <c r="S127" s="112"/>
    </row>
    <row r="128" spans="2:19" ht="17.25" customHeight="1" x14ac:dyDescent="0.3">
      <c r="B128" s="71"/>
      <c r="C128" s="149"/>
      <c r="D128" s="74"/>
      <c r="E128" s="74"/>
      <c r="F128" s="72"/>
      <c r="G128" s="72"/>
      <c r="H128" s="72"/>
      <c r="I128" s="74"/>
      <c r="J128" s="74"/>
      <c r="K128" s="74"/>
      <c r="L128" s="74"/>
      <c r="M128" s="74"/>
      <c r="N128" s="74"/>
      <c r="O128" s="74"/>
      <c r="P128" s="74"/>
      <c r="Q128" s="74"/>
      <c r="R128" s="74"/>
      <c r="S128" s="112"/>
    </row>
    <row r="129" spans="2:19" ht="17.25" customHeight="1" x14ac:dyDescent="0.3">
      <c r="B129" s="71"/>
      <c r="C129" s="149"/>
      <c r="D129" s="74"/>
      <c r="E129" s="74"/>
      <c r="F129" s="72"/>
      <c r="G129" s="72"/>
      <c r="H129" s="72"/>
      <c r="I129" s="74"/>
      <c r="J129" s="74"/>
      <c r="K129" s="74"/>
      <c r="L129" s="74"/>
      <c r="M129" s="74"/>
      <c r="N129" s="74"/>
      <c r="O129" s="74"/>
      <c r="P129" s="74"/>
      <c r="Q129" s="74"/>
      <c r="R129" s="74"/>
      <c r="S129" s="112"/>
    </row>
    <row r="130" spans="2:19" ht="17.25" customHeight="1" x14ac:dyDescent="0.3">
      <c r="B130" s="71"/>
      <c r="C130" s="149"/>
      <c r="D130" s="74"/>
      <c r="E130" s="74"/>
      <c r="F130" s="72"/>
      <c r="G130" s="72"/>
      <c r="H130" s="72"/>
      <c r="I130" s="74"/>
      <c r="J130" s="74"/>
      <c r="K130" s="74"/>
      <c r="L130" s="74"/>
      <c r="M130" s="74"/>
      <c r="N130" s="74"/>
      <c r="O130" s="74"/>
      <c r="P130" s="74"/>
      <c r="Q130" s="74"/>
      <c r="R130" s="74"/>
      <c r="S130" s="112"/>
    </row>
    <row r="131" spans="2:19" ht="17.25" customHeight="1" x14ac:dyDescent="0.3">
      <c r="B131" s="71"/>
      <c r="C131" s="149"/>
      <c r="D131" s="74"/>
      <c r="E131" s="74"/>
      <c r="F131" s="72"/>
      <c r="G131" s="72"/>
      <c r="H131" s="72"/>
      <c r="I131" s="74"/>
      <c r="J131" s="74"/>
      <c r="K131" s="74"/>
      <c r="L131" s="74"/>
      <c r="M131" s="74"/>
      <c r="N131" s="74"/>
      <c r="O131" s="74"/>
      <c r="P131" s="74"/>
      <c r="Q131" s="74"/>
      <c r="R131" s="74"/>
      <c r="S131" s="112"/>
    </row>
    <row r="132" spans="2:19" ht="17.25" customHeight="1" x14ac:dyDescent="0.3">
      <c r="B132" s="109"/>
      <c r="C132" s="145"/>
      <c r="D132" s="74"/>
      <c r="E132" s="74"/>
      <c r="F132" s="69"/>
      <c r="G132" s="69"/>
      <c r="H132" s="69"/>
      <c r="I132" s="74"/>
      <c r="J132" s="74"/>
      <c r="K132" s="74"/>
      <c r="L132" s="74"/>
      <c r="M132" s="74"/>
      <c r="N132" s="74"/>
      <c r="O132" s="74"/>
      <c r="P132" s="74"/>
      <c r="Q132" s="74"/>
      <c r="R132" s="74"/>
      <c r="S132" s="112"/>
    </row>
    <row r="133" spans="2:19" ht="17.25" customHeight="1" x14ac:dyDescent="0.3">
      <c r="B133" s="71"/>
      <c r="C133" s="149"/>
      <c r="D133" s="74"/>
      <c r="E133" s="74"/>
      <c r="F133" s="72"/>
      <c r="G133" s="72"/>
      <c r="H133" s="72"/>
      <c r="I133" s="74"/>
      <c r="J133" s="74"/>
      <c r="K133" s="74"/>
      <c r="L133" s="74"/>
      <c r="M133" s="74"/>
      <c r="N133" s="74"/>
      <c r="O133" s="74"/>
      <c r="P133" s="74"/>
      <c r="Q133" s="74"/>
      <c r="R133" s="74"/>
      <c r="S133" s="112"/>
    </row>
    <row r="134" spans="2:19" ht="17.25" customHeight="1" x14ac:dyDescent="0.3">
      <c r="B134" s="71"/>
      <c r="C134" s="149"/>
      <c r="D134" s="74"/>
      <c r="E134" s="74"/>
      <c r="F134" s="72"/>
      <c r="G134" s="72"/>
      <c r="H134" s="72"/>
      <c r="I134" s="74"/>
      <c r="J134" s="74"/>
      <c r="K134" s="74"/>
      <c r="L134" s="74"/>
      <c r="M134" s="74"/>
      <c r="N134" s="74"/>
      <c r="O134" s="74"/>
      <c r="P134" s="74"/>
      <c r="Q134" s="74"/>
      <c r="R134" s="74"/>
      <c r="S134" s="112"/>
    </row>
    <row r="135" spans="2:19" ht="17.25" customHeight="1" x14ac:dyDescent="0.3">
      <c r="B135" s="71"/>
      <c r="C135" s="149"/>
      <c r="D135" s="74"/>
      <c r="E135" s="74"/>
      <c r="F135" s="72"/>
      <c r="G135" s="72"/>
      <c r="H135" s="72"/>
      <c r="I135" s="74"/>
      <c r="J135" s="74"/>
      <c r="K135" s="74"/>
      <c r="L135" s="74"/>
      <c r="M135" s="74"/>
      <c r="N135" s="74"/>
      <c r="O135" s="74"/>
      <c r="P135" s="74"/>
      <c r="Q135" s="74"/>
      <c r="R135" s="74"/>
      <c r="S135" s="112"/>
    </row>
    <row r="136" spans="2:19" ht="17.25" customHeight="1" x14ac:dyDescent="0.3">
      <c r="B136" s="71"/>
      <c r="C136" s="149"/>
      <c r="D136" s="74"/>
      <c r="E136" s="74"/>
      <c r="F136" s="72"/>
      <c r="G136" s="72"/>
      <c r="H136" s="72"/>
      <c r="I136" s="74"/>
      <c r="J136" s="74"/>
      <c r="K136" s="74"/>
      <c r="L136" s="74"/>
      <c r="M136" s="74"/>
      <c r="N136" s="74"/>
      <c r="O136" s="74"/>
      <c r="P136" s="74"/>
      <c r="Q136" s="74"/>
      <c r="R136" s="74"/>
      <c r="S136" s="112"/>
    </row>
    <row r="137" spans="2:19" ht="17.25" customHeight="1" x14ac:dyDescent="0.3">
      <c r="B137" s="71"/>
      <c r="C137" s="149"/>
      <c r="D137" s="74"/>
      <c r="E137" s="74"/>
      <c r="F137" s="72"/>
      <c r="G137" s="72"/>
      <c r="H137" s="72"/>
      <c r="I137" s="74"/>
      <c r="J137" s="74"/>
      <c r="K137" s="74"/>
      <c r="L137" s="74"/>
      <c r="M137" s="74"/>
      <c r="N137" s="74"/>
      <c r="O137" s="74"/>
      <c r="P137" s="74"/>
      <c r="Q137" s="74"/>
      <c r="R137" s="74"/>
      <c r="S137" s="112"/>
    </row>
    <row r="138" spans="2:19" ht="17.25" customHeight="1" x14ac:dyDescent="0.3">
      <c r="B138" s="71"/>
      <c r="C138" s="149"/>
      <c r="D138" s="74"/>
      <c r="E138" s="74"/>
      <c r="F138" s="72"/>
      <c r="G138" s="72"/>
      <c r="H138" s="72"/>
      <c r="I138" s="74"/>
      <c r="J138" s="74"/>
      <c r="K138" s="74"/>
      <c r="L138" s="74"/>
      <c r="M138" s="74"/>
      <c r="N138" s="74"/>
      <c r="O138" s="74"/>
      <c r="P138" s="74"/>
      <c r="Q138" s="74"/>
      <c r="R138" s="74"/>
      <c r="S138" s="112"/>
    </row>
    <row r="139" spans="2:19" ht="17.25" customHeight="1" x14ac:dyDescent="0.3">
      <c r="B139" s="109"/>
      <c r="C139" s="145"/>
      <c r="D139" s="74"/>
      <c r="E139" s="74"/>
      <c r="F139" s="69"/>
      <c r="G139" s="69"/>
      <c r="H139" s="69"/>
      <c r="I139" s="74"/>
      <c r="J139" s="74"/>
      <c r="K139" s="74"/>
      <c r="L139" s="74"/>
      <c r="M139" s="74"/>
      <c r="N139" s="74"/>
      <c r="O139" s="74"/>
      <c r="P139" s="74"/>
      <c r="Q139" s="74"/>
      <c r="R139" s="74"/>
      <c r="S139" s="112"/>
    </row>
    <row r="140" spans="2:19" ht="17.25" customHeight="1" x14ac:dyDescent="0.3">
      <c r="B140" s="71"/>
      <c r="C140" s="149"/>
      <c r="D140" s="74"/>
      <c r="E140" s="74"/>
      <c r="F140" s="72"/>
      <c r="G140" s="72"/>
      <c r="H140" s="72"/>
      <c r="I140" s="74"/>
      <c r="J140" s="74"/>
      <c r="K140" s="74"/>
      <c r="L140" s="74"/>
      <c r="M140" s="74"/>
      <c r="N140" s="74"/>
      <c r="O140" s="74"/>
      <c r="P140" s="74"/>
      <c r="Q140" s="74"/>
      <c r="R140" s="74"/>
      <c r="S140" s="112"/>
    </row>
    <row r="141" spans="2:19" ht="17.25" customHeight="1" x14ac:dyDescent="0.3">
      <c r="B141" s="71"/>
      <c r="C141" s="149"/>
      <c r="D141" s="74"/>
      <c r="E141" s="74"/>
      <c r="F141" s="72"/>
      <c r="G141" s="72"/>
      <c r="H141" s="72"/>
      <c r="I141" s="74"/>
      <c r="J141" s="74"/>
      <c r="K141" s="74"/>
      <c r="L141" s="74"/>
      <c r="M141" s="74"/>
      <c r="N141" s="74"/>
      <c r="O141" s="74"/>
      <c r="P141" s="74"/>
      <c r="Q141" s="74"/>
      <c r="R141" s="74"/>
      <c r="S141" s="112"/>
    </row>
    <row r="142" spans="2:19" ht="17.25" customHeight="1" x14ac:dyDescent="0.3">
      <c r="B142" s="71"/>
      <c r="C142" s="149"/>
      <c r="D142" s="74"/>
      <c r="E142" s="74"/>
      <c r="F142" s="72"/>
      <c r="G142" s="72"/>
      <c r="H142" s="72"/>
      <c r="I142" s="74"/>
      <c r="J142" s="74"/>
      <c r="K142" s="74"/>
      <c r="L142" s="74"/>
      <c r="M142" s="74"/>
      <c r="N142" s="74"/>
      <c r="O142" s="74"/>
      <c r="P142" s="74"/>
      <c r="Q142" s="74"/>
      <c r="R142" s="74"/>
      <c r="S142" s="112"/>
    </row>
    <row r="143" spans="2:19" ht="17.25" customHeight="1" x14ac:dyDescent="0.3">
      <c r="B143" s="71"/>
      <c r="C143" s="149"/>
      <c r="D143" s="74"/>
      <c r="E143" s="74"/>
      <c r="F143" s="72"/>
      <c r="G143" s="72"/>
      <c r="H143" s="72"/>
      <c r="I143" s="74"/>
      <c r="J143" s="74"/>
      <c r="K143" s="74"/>
      <c r="L143" s="74"/>
      <c r="M143" s="74"/>
      <c r="N143" s="74"/>
      <c r="O143" s="74"/>
      <c r="P143" s="74"/>
      <c r="Q143" s="74"/>
      <c r="R143" s="74"/>
      <c r="S143" s="112"/>
    </row>
    <row r="144" spans="2:19" ht="17.25" customHeight="1" x14ac:dyDescent="0.3">
      <c r="B144" s="71"/>
      <c r="C144" s="149"/>
      <c r="D144" s="74"/>
      <c r="E144" s="74"/>
      <c r="F144" s="72"/>
      <c r="G144" s="72"/>
      <c r="H144" s="72"/>
      <c r="I144" s="74"/>
      <c r="J144" s="74"/>
      <c r="K144" s="74"/>
      <c r="L144" s="74"/>
      <c r="M144" s="74"/>
      <c r="N144" s="74"/>
      <c r="O144" s="74"/>
      <c r="P144" s="74"/>
      <c r="Q144" s="74"/>
      <c r="R144" s="74"/>
      <c r="S144" s="112"/>
    </row>
    <row r="145" spans="2:19" ht="17.25" customHeight="1" x14ac:dyDescent="0.3">
      <c r="B145" s="71"/>
      <c r="C145" s="149"/>
      <c r="D145" s="74"/>
      <c r="E145" s="74"/>
      <c r="F145" s="72"/>
      <c r="G145" s="72"/>
      <c r="H145" s="72"/>
      <c r="I145" s="74"/>
      <c r="J145" s="74"/>
      <c r="K145" s="74"/>
      <c r="L145" s="74"/>
      <c r="M145" s="74"/>
      <c r="N145" s="74"/>
      <c r="O145" s="74"/>
      <c r="P145" s="74"/>
      <c r="Q145" s="74"/>
      <c r="R145" s="74"/>
      <c r="S145" s="112"/>
    </row>
    <row r="146" spans="2:19" ht="17.25" customHeight="1" x14ac:dyDescent="0.3">
      <c r="B146" s="109"/>
      <c r="C146" s="145"/>
      <c r="D146" s="73"/>
      <c r="E146" s="73"/>
      <c r="F146" s="69"/>
      <c r="G146" s="69"/>
      <c r="H146" s="69"/>
      <c r="I146" s="73"/>
      <c r="J146" s="73"/>
      <c r="K146" s="73"/>
      <c r="L146" s="73"/>
      <c r="M146" s="73"/>
      <c r="N146" s="73"/>
      <c r="O146" s="73"/>
      <c r="P146" s="73"/>
      <c r="Q146" s="73"/>
      <c r="R146" s="73"/>
      <c r="S146" s="317"/>
    </row>
    <row r="147" spans="2:19" ht="17.25" customHeight="1" x14ac:dyDescent="0.3">
      <c r="B147" s="71"/>
      <c r="C147" s="149"/>
      <c r="D147" s="74"/>
      <c r="E147" s="74"/>
      <c r="F147" s="72"/>
      <c r="G147" s="72"/>
      <c r="H147" s="72"/>
      <c r="I147" s="74"/>
      <c r="J147" s="74"/>
      <c r="K147" s="74"/>
      <c r="L147" s="74"/>
      <c r="M147" s="74"/>
      <c r="N147" s="74"/>
      <c r="O147" s="74"/>
      <c r="P147" s="74"/>
      <c r="Q147" s="74"/>
      <c r="R147" s="74"/>
      <c r="S147" s="112"/>
    </row>
    <row r="148" spans="2:19" ht="17.25" customHeight="1" x14ac:dyDescent="0.3">
      <c r="B148" s="71"/>
      <c r="C148" s="149"/>
      <c r="D148" s="74"/>
      <c r="E148" s="74"/>
      <c r="F148" s="72"/>
      <c r="G148" s="72"/>
      <c r="H148" s="72"/>
      <c r="I148" s="74"/>
      <c r="J148" s="74"/>
      <c r="K148" s="74"/>
      <c r="L148" s="74"/>
      <c r="M148" s="74"/>
      <c r="N148" s="74"/>
      <c r="O148" s="74"/>
      <c r="P148" s="74"/>
      <c r="Q148" s="74"/>
      <c r="R148" s="74"/>
      <c r="S148" s="112"/>
    </row>
    <row r="149" spans="2:19" ht="17.25" customHeight="1" x14ac:dyDescent="0.3">
      <c r="B149" s="71"/>
      <c r="C149" s="149"/>
      <c r="D149" s="74"/>
      <c r="E149" s="74"/>
      <c r="F149" s="72"/>
      <c r="G149" s="72"/>
      <c r="H149" s="72"/>
      <c r="I149" s="74"/>
      <c r="J149" s="74"/>
      <c r="K149" s="74"/>
      <c r="L149" s="74"/>
      <c r="M149" s="74"/>
      <c r="N149" s="74"/>
      <c r="O149" s="74"/>
      <c r="P149" s="74"/>
      <c r="Q149" s="74"/>
      <c r="R149" s="74"/>
      <c r="S149" s="112"/>
    </row>
    <row r="150" spans="2:19" ht="17.25" customHeight="1" x14ac:dyDescent="0.3">
      <c r="B150" s="71"/>
      <c r="C150" s="149"/>
      <c r="D150" s="74"/>
      <c r="E150" s="74"/>
      <c r="F150" s="72"/>
      <c r="G150" s="72"/>
      <c r="H150" s="72"/>
      <c r="I150" s="74"/>
      <c r="J150" s="74"/>
      <c r="K150" s="74"/>
      <c r="L150" s="74"/>
      <c r="M150" s="74"/>
      <c r="N150" s="74"/>
      <c r="O150" s="74"/>
      <c r="P150" s="74"/>
      <c r="Q150" s="74"/>
      <c r="R150" s="74"/>
      <c r="S150" s="112"/>
    </row>
    <row r="151" spans="2:19" ht="17.25" customHeight="1" x14ac:dyDescent="0.3">
      <c r="B151" s="109"/>
      <c r="C151" s="145"/>
      <c r="D151" s="74"/>
      <c r="E151" s="74"/>
      <c r="F151" s="69"/>
      <c r="G151" s="69"/>
      <c r="H151" s="69"/>
      <c r="I151" s="74"/>
      <c r="J151" s="74"/>
      <c r="K151" s="74"/>
      <c r="L151" s="74"/>
      <c r="M151" s="74"/>
      <c r="N151" s="74"/>
      <c r="O151" s="74"/>
      <c r="P151" s="74"/>
      <c r="Q151" s="74"/>
      <c r="R151" s="74"/>
      <c r="S151" s="112"/>
    </row>
    <row r="152" spans="2:19" ht="17.25" customHeight="1" x14ac:dyDescent="0.3">
      <c r="B152" s="71"/>
      <c r="C152" s="149"/>
      <c r="D152" s="74"/>
      <c r="E152" s="74"/>
      <c r="F152" s="72"/>
      <c r="G152" s="72"/>
      <c r="H152" s="72"/>
      <c r="I152" s="74"/>
      <c r="J152" s="74"/>
      <c r="K152" s="74"/>
      <c r="L152" s="74"/>
      <c r="M152" s="74"/>
      <c r="N152" s="74"/>
      <c r="O152" s="74"/>
      <c r="P152" s="74"/>
      <c r="Q152" s="74"/>
      <c r="R152" s="74"/>
      <c r="S152" s="112"/>
    </row>
    <row r="153" spans="2:19" ht="17.25" customHeight="1" x14ac:dyDescent="0.3">
      <c r="B153" s="71"/>
      <c r="C153" s="149"/>
      <c r="D153" s="74"/>
      <c r="E153" s="74"/>
      <c r="F153" s="72"/>
      <c r="G153" s="72"/>
      <c r="H153" s="72"/>
      <c r="I153" s="74"/>
      <c r="J153" s="74"/>
      <c r="K153" s="74"/>
      <c r="L153" s="74"/>
      <c r="M153" s="74"/>
      <c r="N153" s="74"/>
      <c r="O153" s="74"/>
      <c r="P153" s="74"/>
      <c r="Q153" s="74"/>
      <c r="R153" s="74"/>
      <c r="S153" s="112"/>
    </row>
    <row r="154" spans="2:19" ht="17.25" customHeight="1" x14ac:dyDescent="0.3">
      <c r="B154" s="71"/>
      <c r="C154" s="149"/>
      <c r="D154" s="74"/>
      <c r="E154" s="74"/>
      <c r="F154" s="72"/>
      <c r="G154" s="72"/>
      <c r="H154" s="72"/>
      <c r="I154" s="74"/>
      <c r="J154" s="74"/>
      <c r="K154" s="74"/>
      <c r="L154" s="74"/>
      <c r="M154" s="74"/>
      <c r="N154" s="74"/>
      <c r="O154" s="74"/>
      <c r="P154" s="74"/>
      <c r="Q154" s="74"/>
      <c r="R154" s="74"/>
      <c r="S154" s="112"/>
    </row>
    <row r="155" spans="2:19" ht="17.25" customHeight="1" x14ac:dyDescent="0.3">
      <c r="B155" s="71"/>
      <c r="C155" s="149"/>
      <c r="D155" s="74"/>
      <c r="E155" s="74"/>
      <c r="F155" s="72"/>
      <c r="G155" s="72"/>
      <c r="H155" s="72"/>
      <c r="I155" s="74"/>
      <c r="J155" s="74"/>
      <c r="K155" s="74"/>
      <c r="L155" s="74"/>
      <c r="M155" s="74"/>
      <c r="N155" s="74"/>
      <c r="O155" s="74"/>
      <c r="P155" s="74"/>
      <c r="Q155" s="74"/>
      <c r="R155" s="74"/>
      <c r="S155" s="112"/>
    </row>
    <row r="156" spans="2:19" ht="17.25" customHeight="1" x14ac:dyDescent="0.3">
      <c r="B156" s="109"/>
      <c r="C156" s="145"/>
      <c r="D156" s="74"/>
      <c r="E156" s="74"/>
      <c r="F156" s="69"/>
      <c r="G156" s="69"/>
      <c r="H156" s="69"/>
      <c r="I156" s="74"/>
      <c r="J156" s="74"/>
      <c r="K156" s="74"/>
      <c r="L156" s="74"/>
      <c r="M156" s="74"/>
      <c r="N156" s="74"/>
      <c r="O156" s="74"/>
      <c r="P156" s="74"/>
      <c r="Q156" s="74"/>
      <c r="R156" s="74"/>
      <c r="S156" s="112"/>
    </row>
    <row r="157" spans="2:19" ht="17.25" customHeight="1" x14ac:dyDescent="0.3">
      <c r="B157" s="71"/>
      <c r="C157" s="149"/>
      <c r="D157" s="74"/>
      <c r="E157" s="74"/>
      <c r="F157" s="72"/>
      <c r="G157" s="72"/>
      <c r="H157" s="72"/>
      <c r="I157" s="74"/>
      <c r="J157" s="74"/>
      <c r="K157" s="74"/>
      <c r="L157" s="74"/>
      <c r="M157" s="74"/>
      <c r="N157" s="74"/>
      <c r="O157" s="74"/>
      <c r="P157" s="74"/>
      <c r="Q157" s="74"/>
      <c r="R157" s="74"/>
      <c r="S157" s="112"/>
    </row>
    <row r="158" spans="2:19" ht="17.25" customHeight="1" x14ac:dyDescent="0.3">
      <c r="B158" s="71"/>
      <c r="C158" s="149"/>
      <c r="D158" s="74"/>
      <c r="E158" s="74"/>
      <c r="F158" s="72"/>
      <c r="G158" s="72"/>
      <c r="H158" s="72"/>
      <c r="I158" s="74"/>
      <c r="J158" s="74"/>
      <c r="K158" s="74"/>
      <c r="L158" s="74"/>
      <c r="M158" s="74"/>
      <c r="N158" s="74"/>
      <c r="O158" s="74"/>
      <c r="P158" s="74"/>
      <c r="Q158" s="74"/>
      <c r="R158" s="74"/>
      <c r="S158" s="112"/>
    </row>
    <row r="159" spans="2:19" ht="17.25" customHeight="1" x14ac:dyDescent="0.3">
      <c r="B159" s="71"/>
      <c r="C159" s="149"/>
      <c r="D159" s="74"/>
      <c r="E159" s="74"/>
      <c r="F159" s="72"/>
      <c r="G159" s="72"/>
      <c r="H159" s="72"/>
      <c r="I159" s="74"/>
      <c r="J159" s="74"/>
      <c r="K159" s="74"/>
      <c r="L159" s="74"/>
      <c r="M159" s="74"/>
      <c r="N159" s="74"/>
      <c r="O159" s="74"/>
      <c r="P159" s="74"/>
      <c r="Q159" s="74"/>
      <c r="R159" s="74"/>
      <c r="S159" s="112"/>
    </row>
    <row r="160" spans="2:19" ht="17.25" customHeight="1" x14ac:dyDescent="0.3">
      <c r="B160" s="71"/>
      <c r="C160" s="149"/>
      <c r="D160" s="74"/>
      <c r="E160" s="74"/>
      <c r="F160" s="72"/>
      <c r="G160" s="72"/>
      <c r="H160" s="72"/>
      <c r="I160" s="74"/>
      <c r="J160" s="74"/>
      <c r="K160" s="74"/>
      <c r="L160" s="74"/>
      <c r="M160" s="74"/>
      <c r="N160" s="74"/>
      <c r="O160" s="74"/>
      <c r="P160" s="74"/>
      <c r="Q160" s="74"/>
      <c r="R160" s="74"/>
      <c r="S160" s="112"/>
    </row>
    <row r="161" spans="2:19" ht="17.25" customHeight="1" x14ac:dyDescent="0.3">
      <c r="B161" s="71"/>
      <c r="C161" s="149"/>
      <c r="D161" s="74"/>
      <c r="E161" s="74"/>
      <c r="F161" s="72"/>
      <c r="G161" s="72"/>
      <c r="H161" s="72"/>
      <c r="I161" s="74"/>
      <c r="J161" s="74"/>
      <c r="K161" s="74"/>
      <c r="L161" s="74"/>
      <c r="M161" s="74"/>
      <c r="N161" s="74"/>
      <c r="O161" s="74"/>
      <c r="P161" s="74"/>
      <c r="Q161" s="74"/>
      <c r="R161" s="74"/>
      <c r="S161" s="112"/>
    </row>
    <row r="162" spans="2:19" ht="17.25" customHeight="1" x14ac:dyDescent="0.3">
      <c r="B162" s="71"/>
      <c r="C162" s="149"/>
      <c r="D162" s="74"/>
      <c r="E162" s="74"/>
      <c r="F162" s="72"/>
      <c r="G162" s="72"/>
      <c r="H162" s="72"/>
      <c r="I162" s="74"/>
      <c r="J162" s="74"/>
      <c r="K162" s="74"/>
      <c r="L162" s="74"/>
      <c r="M162" s="74"/>
      <c r="N162" s="74"/>
      <c r="O162" s="74"/>
      <c r="P162" s="74"/>
      <c r="Q162" s="74"/>
      <c r="R162" s="74"/>
      <c r="S162" s="112"/>
    </row>
    <row r="163" spans="2:19" ht="17.25" customHeight="1" x14ac:dyDescent="0.3">
      <c r="B163" s="109"/>
      <c r="C163" s="145"/>
      <c r="D163" s="74"/>
      <c r="E163" s="74"/>
      <c r="F163" s="69"/>
      <c r="G163" s="69"/>
      <c r="H163" s="69"/>
      <c r="I163" s="74"/>
      <c r="J163" s="74"/>
      <c r="K163" s="74"/>
      <c r="L163" s="74"/>
      <c r="M163" s="74"/>
      <c r="N163" s="74"/>
      <c r="O163" s="74"/>
      <c r="P163" s="74"/>
      <c r="Q163" s="74"/>
      <c r="R163" s="74"/>
      <c r="S163" s="112"/>
    </row>
    <row r="164" spans="2:19" ht="17.25" customHeight="1" x14ac:dyDescent="0.3">
      <c r="B164" s="71"/>
      <c r="C164" s="149"/>
      <c r="D164" s="74"/>
      <c r="E164" s="74"/>
      <c r="F164" s="72"/>
      <c r="G164" s="72"/>
      <c r="H164" s="72"/>
      <c r="I164" s="74"/>
      <c r="J164" s="74"/>
      <c r="K164" s="74"/>
      <c r="L164" s="74"/>
      <c r="M164" s="74"/>
      <c r="N164" s="74"/>
      <c r="O164" s="74"/>
      <c r="P164" s="74"/>
      <c r="Q164" s="74"/>
      <c r="R164" s="74"/>
      <c r="S164" s="112"/>
    </row>
    <row r="165" spans="2:19" ht="17.25" customHeight="1" x14ac:dyDescent="0.3">
      <c r="B165" s="71"/>
      <c r="C165" s="149"/>
      <c r="D165" s="74"/>
      <c r="E165" s="74"/>
      <c r="F165" s="72"/>
      <c r="G165" s="72"/>
      <c r="H165" s="72"/>
      <c r="I165" s="74"/>
      <c r="J165" s="74"/>
      <c r="K165" s="74"/>
      <c r="L165" s="74"/>
      <c r="M165" s="74"/>
      <c r="N165" s="74"/>
      <c r="O165" s="74"/>
      <c r="P165" s="74"/>
      <c r="Q165" s="74"/>
      <c r="R165" s="74"/>
      <c r="S165" s="112"/>
    </row>
    <row r="166" spans="2:19" ht="17.25" customHeight="1" x14ac:dyDescent="0.3">
      <c r="B166" s="109"/>
      <c r="C166" s="145"/>
      <c r="D166" s="74"/>
      <c r="E166" s="74"/>
      <c r="F166" s="69"/>
      <c r="G166" s="69"/>
      <c r="H166" s="69"/>
      <c r="I166" s="74"/>
      <c r="J166" s="74"/>
      <c r="K166" s="74"/>
      <c r="L166" s="74"/>
      <c r="M166" s="74"/>
      <c r="N166" s="74"/>
      <c r="O166" s="74"/>
      <c r="P166" s="74"/>
      <c r="Q166" s="74"/>
      <c r="R166" s="74"/>
      <c r="S166" s="112"/>
    </row>
    <row r="167" spans="2:19" ht="17.25" customHeight="1" x14ac:dyDescent="0.3">
      <c r="B167" s="71"/>
      <c r="C167" s="149"/>
      <c r="D167" s="74"/>
      <c r="E167" s="74"/>
      <c r="F167" s="72"/>
      <c r="G167" s="72"/>
      <c r="H167" s="72"/>
      <c r="I167" s="74"/>
      <c r="J167" s="74"/>
      <c r="K167" s="74"/>
      <c r="L167" s="74"/>
      <c r="M167" s="74"/>
      <c r="N167" s="74"/>
      <c r="O167" s="74"/>
      <c r="P167" s="74"/>
      <c r="Q167" s="74"/>
      <c r="R167" s="74"/>
      <c r="S167" s="112"/>
    </row>
    <row r="168" spans="2:19" ht="17.25" customHeight="1" x14ac:dyDescent="0.3">
      <c r="B168" s="71"/>
      <c r="C168" s="149"/>
      <c r="D168" s="74"/>
      <c r="E168" s="74"/>
      <c r="F168" s="72"/>
      <c r="G168" s="72"/>
      <c r="H168" s="72"/>
      <c r="I168" s="74"/>
      <c r="J168" s="74"/>
      <c r="K168" s="74"/>
      <c r="L168" s="74"/>
      <c r="M168" s="74"/>
      <c r="N168" s="74"/>
      <c r="O168" s="74"/>
      <c r="P168" s="74"/>
      <c r="Q168" s="74"/>
      <c r="R168" s="74"/>
      <c r="S168" s="112"/>
    </row>
    <row r="169" spans="2:19" ht="17.25" customHeight="1" x14ac:dyDescent="0.3">
      <c r="B169" s="71"/>
      <c r="C169" s="149"/>
      <c r="D169" s="74"/>
      <c r="E169" s="74"/>
      <c r="F169" s="72"/>
      <c r="G169" s="72"/>
      <c r="H169" s="72"/>
      <c r="I169" s="74"/>
      <c r="J169" s="74"/>
      <c r="K169" s="74"/>
      <c r="L169" s="74"/>
      <c r="M169" s="74"/>
      <c r="N169" s="74"/>
      <c r="O169" s="74"/>
      <c r="P169" s="74"/>
      <c r="Q169" s="74"/>
      <c r="R169" s="74"/>
      <c r="S169" s="112"/>
    </row>
    <row r="170" spans="2:19" ht="17.25" customHeight="1" x14ac:dyDescent="0.3">
      <c r="B170" s="71"/>
      <c r="C170" s="149"/>
      <c r="D170" s="74"/>
      <c r="E170" s="74"/>
      <c r="F170" s="72"/>
      <c r="G170" s="72"/>
      <c r="H170" s="72"/>
      <c r="I170" s="74"/>
      <c r="J170" s="74"/>
      <c r="K170" s="74"/>
      <c r="L170" s="74"/>
      <c r="M170" s="74"/>
      <c r="N170" s="74"/>
      <c r="O170" s="74"/>
      <c r="P170" s="74"/>
      <c r="Q170" s="74"/>
      <c r="R170" s="74"/>
      <c r="S170" s="112"/>
    </row>
    <row r="171" spans="2:19" ht="17.25" customHeight="1" x14ac:dyDescent="0.3">
      <c r="B171" s="109"/>
      <c r="C171" s="145"/>
      <c r="D171" s="74"/>
      <c r="E171" s="74"/>
      <c r="F171" s="69"/>
      <c r="G171" s="69"/>
      <c r="H171" s="69"/>
      <c r="I171" s="74"/>
      <c r="J171" s="74"/>
      <c r="K171" s="74"/>
      <c r="L171" s="74"/>
      <c r="M171" s="74"/>
      <c r="N171" s="74"/>
      <c r="O171" s="74"/>
      <c r="P171" s="74"/>
      <c r="Q171" s="74"/>
      <c r="R171" s="74"/>
      <c r="S171" s="112"/>
    </row>
    <row r="172" spans="2:19" ht="17.25" customHeight="1" x14ac:dyDescent="0.3">
      <c r="B172" s="71"/>
      <c r="C172" s="149"/>
      <c r="D172" s="74"/>
      <c r="E172" s="74"/>
      <c r="F172" s="72"/>
      <c r="G172" s="72"/>
      <c r="H172" s="72"/>
      <c r="I172" s="74"/>
      <c r="J172" s="74"/>
      <c r="K172" s="74"/>
      <c r="L172" s="74"/>
      <c r="M172" s="74"/>
      <c r="N172" s="74"/>
      <c r="O172" s="74"/>
      <c r="P172" s="74"/>
      <c r="Q172" s="74"/>
      <c r="R172" s="74"/>
      <c r="S172" s="112"/>
    </row>
    <row r="173" spans="2:19" ht="17.25" customHeight="1" x14ac:dyDescent="0.3">
      <c r="B173" s="71"/>
      <c r="C173" s="149"/>
      <c r="D173" s="74"/>
      <c r="E173" s="74"/>
      <c r="F173" s="72"/>
      <c r="G173" s="72"/>
      <c r="H173" s="72"/>
      <c r="I173" s="74"/>
      <c r="J173" s="74"/>
      <c r="K173" s="74"/>
      <c r="L173" s="74"/>
      <c r="M173" s="74"/>
      <c r="N173" s="74"/>
      <c r="O173" s="74"/>
      <c r="P173" s="74"/>
      <c r="Q173" s="74"/>
      <c r="R173" s="74"/>
      <c r="S173" s="112"/>
    </row>
    <row r="174" spans="2:19" ht="17.25" customHeight="1" x14ac:dyDescent="0.3">
      <c r="B174" s="71"/>
      <c r="C174" s="149"/>
      <c r="D174" s="74"/>
      <c r="E174" s="74"/>
      <c r="F174" s="72"/>
      <c r="G174" s="72"/>
      <c r="H174" s="72"/>
      <c r="I174" s="74"/>
      <c r="J174" s="74"/>
      <c r="K174" s="74"/>
      <c r="L174" s="74"/>
      <c r="M174" s="74"/>
      <c r="N174" s="74"/>
      <c r="O174" s="74"/>
      <c r="P174" s="74"/>
      <c r="Q174" s="74"/>
      <c r="R174" s="74"/>
      <c r="S174" s="112"/>
    </row>
    <row r="175" spans="2:19" ht="17.25" customHeight="1" x14ac:dyDescent="0.3">
      <c r="B175" s="71"/>
      <c r="C175" s="149"/>
      <c r="D175" s="74"/>
      <c r="E175" s="74"/>
      <c r="F175" s="72"/>
      <c r="G175" s="72"/>
      <c r="H175" s="72"/>
      <c r="I175" s="74"/>
      <c r="J175" s="74"/>
      <c r="K175" s="74"/>
      <c r="L175" s="74"/>
      <c r="M175" s="74"/>
      <c r="N175" s="74"/>
      <c r="O175" s="74"/>
      <c r="P175" s="74"/>
      <c r="Q175" s="74"/>
      <c r="R175" s="74"/>
      <c r="S175" s="112"/>
    </row>
    <row r="176" spans="2:19" ht="17.25" customHeight="1" x14ac:dyDescent="0.3">
      <c r="B176" s="71"/>
      <c r="C176" s="149"/>
      <c r="D176" s="74"/>
      <c r="E176" s="74"/>
      <c r="F176" s="72"/>
      <c r="G176" s="72"/>
      <c r="H176" s="72"/>
      <c r="I176" s="74"/>
      <c r="J176" s="74"/>
      <c r="K176" s="74"/>
      <c r="L176" s="74"/>
      <c r="M176" s="74"/>
      <c r="N176" s="74"/>
      <c r="O176" s="74"/>
      <c r="P176" s="74"/>
      <c r="Q176" s="74"/>
      <c r="R176" s="74"/>
      <c r="S176" s="112"/>
    </row>
    <row r="177" spans="2:19" ht="17.25" customHeight="1" x14ac:dyDescent="0.3">
      <c r="B177" s="71"/>
      <c r="C177" s="149"/>
      <c r="D177" s="74"/>
      <c r="E177" s="74"/>
      <c r="F177" s="72"/>
      <c r="G177" s="72"/>
      <c r="H177" s="72"/>
      <c r="I177" s="74"/>
      <c r="J177" s="74"/>
      <c r="K177" s="74"/>
      <c r="L177" s="74"/>
      <c r="M177" s="74"/>
      <c r="N177" s="74"/>
      <c r="O177" s="74"/>
      <c r="P177" s="74"/>
      <c r="Q177" s="74"/>
      <c r="R177" s="74"/>
      <c r="S177" s="112"/>
    </row>
    <row r="178" spans="2:19" ht="17.25" customHeight="1" x14ac:dyDescent="0.3">
      <c r="B178" s="109"/>
      <c r="C178" s="145"/>
      <c r="D178" s="74"/>
      <c r="E178" s="74"/>
      <c r="F178" s="69"/>
      <c r="G178" s="69"/>
      <c r="H178" s="69"/>
      <c r="I178" s="74"/>
      <c r="J178" s="74"/>
      <c r="K178" s="74"/>
      <c r="L178" s="74"/>
      <c r="M178" s="74"/>
      <c r="N178" s="74"/>
      <c r="O178" s="74"/>
      <c r="P178" s="74"/>
      <c r="Q178" s="74"/>
      <c r="R178" s="74"/>
      <c r="S178" s="112"/>
    </row>
    <row r="179" spans="2:19" ht="17.25" customHeight="1" x14ac:dyDescent="0.3">
      <c r="B179" s="71"/>
      <c r="C179" s="149"/>
      <c r="D179" s="74"/>
      <c r="E179" s="74"/>
      <c r="F179" s="72"/>
      <c r="G179" s="72"/>
      <c r="H179" s="72"/>
      <c r="I179" s="74"/>
      <c r="J179" s="74"/>
      <c r="K179" s="74"/>
      <c r="L179" s="74"/>
      <c r="M179" s="74"/>
      <c r="N179" s="74"/>
      <c r="O179" s="74"/>
      <c r="P179" s="74"/>
      <c r="Q179" s="74"/>
      <c r="R179" s="74"/>
      <c r="S179" s="112"/>
    </row>
    <row r="180" spans="2:19" ht="17.25" customHeight="1" x14ac:dyDescent="0.3">
      <c r="B180" s="71"/>
      <c r="C180" s="149"/>
      <c r="D180" s="74"/>
      <c r="E180" s="74"/>
      <c r="F180" s="72"/>
      <c r="G180" s="72"/>
      <c r="H180" s="72"/>
      <c r="I180" s="74"/>
      <c r="J180" s="74"/>
      <c r="K180" s="74"/>
      <c r="L180" s="74"/>
      <c r="M180" s="74"/>
      <c r="N180" s="74"/>
      <c r="O180" s="74"/>
      <c r="P180" s="74"/>
      <c r="Q180" s="74"/>
      <c r="R180" s="74"/>
      <c r="S180" s="112"/>
    </row>
    <row r="181" spans="2:19" ht="17.25" customHeight="1" x14ac:dyDescent="0.3">
      <c r="B181" s="71"/>
      <c r="C181" s="149"/>
      <c r="D181" s="74"/>
      <c r="E181" s="74"/>
      <c r="F181" s="72"/>
      <c r="G181" s="72"/>
      <c r="H181" s="72"/>
      <c r="I181" s="74"/>
      <c r="J181" s="74"/>
      <c r="K181" s="74"/>
      <c r="L181" s="74"/>
      <c r="M181" s="74"/>
      <c r="N181" s="74"/>
      <c r="O181" s="74"/>
      <c r="P181" s="74"/>
      <c r="Q181" s="74"/>
      <c r="R181" s="74"/>
      <c r="S181" s="112"/>
    </row>
    <row r="182" spans="2:19" ht="17.25" customHeight="1" x14ac:dyDescent="0.3">
      <c r="B182" s="71"/>
      <c r="C182" s="149"/>
      <c r="D182" s="74"/>
      <c r="E182" s="74"/>
      <c r="F182" s="72"/>
      <c r="G182" s="72"/>
      <c r="H182" s="72"/>
      <c r="I182" s="74"/>
      <c r="J182" s="74"/>
      <c r="K182" s="74"/>
      <c r="L182" s="74"/>
      <c r="M182" s="74"/>
      <c r="N182" s="74"/>
      <c r="O182" s="74"/>
      <c r="P182" s="74"/>
      <c r="Q182" s="74"/>
      <c r="R182" s="74"/>
      <c r="S182" s="112"/>
    </row>
    <row r="183" spans="2:19" s="178" customFormat="1" ht="17.25" customHeight="1" x14ac:dyDescent="0.3">
      <c r="B183" s="172"/>
      <c r="C183" s="173" t="s">
        <v>10</v>
      </c>
      <c r="D183" s="174"/>
      <c r="E183" s="174"/>
      <c r="F183" s="175"/>
      <c r="G183" s="175"/>
      <c r="H183" s="175"/>
      <c r="I183" s="176">
        <f>SUM(I91:I182)</f>
        <v>0</v>
      </c>
      <c r="J183" s="176"/>
      <c r="K183" s="176">
        <f>SUM(K91:K182)</f>
        <v>0</v>
      </c>
      <c r="L183" s="176">
        <f>SUM(L91:L182)</f>
        <v>0</v>
      </c>
      <c r="M183" s="176">
        <f>SUM(M91:M182)</f>
        <v>0</v>
      </c>
      <c r="N183" s="176"/>
      <c r="O183" s="176"/>
      <c r="P183" s="176"/>
      <c r="Q183" s="176">
        <f>SUM(Q91:Q182)</f>
        <v>0</v>
      </c>
      <c r="R183" s="176">
        <f>SUM(R91:R182)</f>
        <v>0</v>
      </c>
      <c r="S183" s="177"/>
    </row>
    <row r="184" spans="2:19" ht="17.25" customHeight="1" x14ac:dyDescent="0.3">
      <c r="B184" s="71"/>
      <c r="C184" s="149"/>
      <c r="D184" s="74"/>
      <c r="E184" s="74"/>
      <c r="F184" s="72"/>
      <c r="G184" s="72"/>
      <c r="H184" s="72"/>
      <c r="I184" s="74"/>
      <c r="J184" s="74"/>
      <c r="K184" s="74"/>
      <c r="L184" s="74"/>
      <c r="M184" s="74"/>
      <c r="N184" s="74"/>
      <c r="O184" s="812" t="s">
        <v>115</v>
      </c>
      <c r="P184" s="813"/>
      <c r="Q184" s="74">
        <f>Q183/3.2808</f>
        <v>0</v>
      </c>
      <c r="R184" s="74">
        <f>R183/3.2808</f>
        <v>0</v>
      </c>
      <c r="S184" s="112"/>
    </row>
    <row r="185" spans="2:19" ht="17.25" customHeight="1" x14ac:dyDescent="0.3">
      <c r="B185" s="75"/>
      <c r="C185" s="150"/>
      <c r="D185" s="77"/>
      <c r="E185" s="77"/>
      <c r="F185" s="76"/>
      <c r="G185" s="76"/>
      <c r="H185" s="76"/>
      <c r="I185" s="77"/>
      <c r="J185" s="77"/>
      <c r="K185" s="77"/>
      <c r="L185" s="77"/>
      <c r="M185" s="77"/>
      <c r="N185" s="77"/>
      <c r="O185" s="814" t="s">
        <v>116</v>
      </c>
      <c r="P185" s="815"/>
      <c r="Q185" s="179">
        <f>Q184*0.395</f>
        <v>0</v>
      </c>
      <c r="R185" s="179">
        <f>R184*0.617</f>
        <v>0</v>
      </c>
      <c r="S185" s="113"/>
    </row>
    <row r="187" spans="2:19" ht="30" customHeight="1" x14ac:dyDescent="0.3">
      <c r="B187" s="816" t="s">
        <v>121</v>
      </c>
      <c r="C187" s="816"/>
      <c r="D187" s="79"/>
      <c r="E187" s="79"/>
      <c r="F187" s="7"/>
      <c r="G187" s="7"/>
      <c r="H187" s="7"/>
      <c r="I187" s="180"/>
    </row>
    <row r="188" spans="2:19" ht="20.25" customHeight="1" x14ac:dyDescent="0.3">
      <c r="B188" s="837" t="s">
        <v>46</v>
      </c>
      <c r="C188" s="825" t="s">
        <v>1</v>
      </c>
      <c r="D188" s="826" t="s">
        <v>117</v>
      </c>
      <c r="E188" s="825" t="s">
        <v>118</v>
      </c>
      <c r="F188" s="825" t="s">
        <v>119</v>
      </c>
      <c r="G188" s="825" t="s">
        <v>120</v>
      </c>
      <c r="H188" s="825"/>
      <c r="I188" s="834" t="s">
        <v>11</v>
      </c>
    </row>
    <row r="189" spans="2:19" ht="29.25" customHeight="1" x14ac:dyDescent="0.3">
      <c r="B189" s="838"/>
      <c r="C189" s="833"/>
      <c r="D189" s="827"/>
      <c r="E189" s="833"/>
      <c r="F189" s="833"/>
      <c r="G189" s="68" t="s">
        <v>60</v>
      </c>
      <c r="H189" s="68" t="s">
        <v>61</v>
      </c>
      <c r="I189" s="835"/>
    </row>
    <row r="190" spans="2:19" ht="20.25" customHeight="1" x14ac:dyDescent="0.3">
      <c r="B190" s="71">
        <v>1</v>
      </c>
      <c r="C190" s="149" t="s">
        <v>272</v>
      </c>
      <c r="D190" s="181">
        <f>+I86</f>
        <v>0</v>
      </c>
      <c r="E190" s="74">
        <f>+K86+L86</f>
        <v>0</v>
      </c>
      <c r="F190" s="74">
        <f>+M86</f>
        <v>0</v>
      </c>
      <c r="G190" s="74">
        <f>+Q88</f>
        <v>0</v>
      </c>
      <c r="H190" s="74">
        <f>+R88</f>
        <v>0</v>
      </c>
      <c r="I190" s="112"/>
    </row>
    <row r="191" spans="2:19" ht="28.8" x14ac:dyDescent="0.3">
      <c r="B191" s="71">
        <v>2</v>
      </c>
      <c r="C191" s="149" t="s">
        <v>273</v>
      </c>
      <c r="D191" s="74">
        <f>+I183</f>
        <v>0</v>
      </c>
      <c r="E191" s="74">
        <f>+K183+L183</f>
        <v>0</v>
      </c>
      <c r="F191" s="182">
        <f>+M183</f>
        <v>0</v>
      </c>
      <c r="G191" s="182">
        <f>+Q185</f>
        <v>0</v>
      </c>
      <c r="H191" s="182">
        <f>+R185</f>
        <v>0</v>
      </c>
      <c r="I191" s="112"/>
    </row>
    <row r="192" spans="2:19" ht="20.25" customHeight="1" x14ac:dyDescent="0.3">
      <c r="B192" s="75"/>
      <c r="C192" s="183" t="s">
        <v>10</v>
      </c>
      <c r="D192" s="184">
        <f>SUM(D190:D191)</f>
        <v>0</v>
      </c>
      <c r="E192" s="184">
        <f>SUM(E190:E191)</f>
        <v>0</v>
      </c>
      <c r="F192" s="184">
        <f>SUM(F190:F191)</f>
        <v>0</v>
      </c>
      <c r="G192" s="184">
        <f>SUM(G190:G191)</f>
        <v>0</v>
      </c>
      <c r="H192" s="184">
        <f>SUM(H190:H191)</f>
        <v>0</v>
      </c>
      <c r="I192" s="113"/>
    </row>
    <row r="193" spans="4:19" s="1" customFormat="1" x14ac:dyDescent="0.3">
      <c r="D193" s="138"/>
      <c r="E193" s="138"/>
      <c r="F193" s="3"/>
      <c r="G193" s="3"/>
      <c r="H193" s="3"/>
      <c r="I193" s="3"/>
      <c r="J193" s="3"/>
      <c r="K193" s="3"/>
      <c r="L193" s="3"/>
      <c r="M193" s="3"/>
      <c r="N193" s="3"/>
      <c r="O193" s="3"/>
      <c r="P193" s="3"/>
      <c r="Q193" s="3"/>
      <c r="R193" s="3"/>
      <c r="S193" s="3"/>
    </row>
    <row r="194" spans="4:19" s="1" customFormat="1" x14ac:dyDescent="0.3">
      <c r="D194" s="138"/>
      <c r="E194" s="138"/>
      <c r="F194" s="3"/>
      <c r="G194" s="3"/>
      <c r="H194" s="3"/>
      <c r="I194" s="3"/>
      <c r="J194" s="3"/>
      <c r="K194" s="3"/>
      <c r="L194" s="3"/>
      <c r="M194" s="3"/>
      <c r="N194" s="3"/>
      <c r="O194" s="3"/>
      <c r="P194" s="3"/>
      <c r="Q194" s="3"/>
      <c r="R194" s="3"/>
      <c r="S194" s="3"/>
    </row>
    <row r="195" spans="4:19" x14ac:dyDescent="0.3">
      <c r="E195" s="1"/>
    </row>
    <row r="196" spans="4:19" x14ac:dyDescent="0.3">
      <c r="E196" s="1"/>
    </row>
    <row r="276" spans="2:10" s="3" customFormat="1" ht="20.25" customHeight="1" x14ac:dyDescent="0.3">
      <c r="B276" s="75"/>
      <c r="C276" s="150"/>
      <c r="D276" s="836"/>
      <c r="E276" s="836"/>
      <c r="F276" s="76"/>
      <c r="G276" s="76"/>
      <c r="H276" s="76"/>
      <c r="I276" s="77"/>
      <c r="J276" s="113"/>
    </row>
  </sheetData>
  <autoFilter ref="B5:S88" xr:uid="{00000000-0009-0000-0000-00000F000000}"/>
  <mergeCells count="23">
    <mergeCell ref="F188:F189"/>
    <mergeCell ref="G188:H188"/>
    <mergeCell ref="I188:I189"/>
    <mergeCell ref="D276:E276"/>
    <mergeCell ref="B187:C187"/>
    <mergeCell ref="B188:B189"/>
    <mergeCell ref="C188:C189"/>
    <mergeCell ref="D188:D189"/>
    <mergeCell ref="E188:E189"/>
    <mergeCell ref="O184:P184"/>
    <mergeCell ref="O185:P185"/>
    <mergeCell ref="B2:S2"/>
    <mergeCell ref="B3:B4"/>
    <mergeCell ref="C3:C4"/>
    <mergeCell ref="D3:E4"/>
    <mergeCell ref="F3:I3"/>
    <mergeCell ref="J3:J4"/>
    <mergeCell ref="K3:L3"/>
    <mergeCell ref="M3:M4"/>
    <mergeCell ref="N3:R3"/>
    <mergeCell ref="S3:S4"/>
    <mergeCell ref="O87:P87"/>
    <mergeCell ref="O88:P88"/>
  </mergeCells>
  <pageMargins left="0.7" right="0.7" top="0.75" bottom="0.75" header="0.3" footer="0.3"/>
  <pageSetup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64"/>
  <sheetViews>
    <sheetView showGridLines="0" topLeftCell="A34" workbookViewId="0">
      <selection activeCell="F52" sqref="F52"/>
    </sheetView>
  </sheetViews>
  <sheetFormatPr defaultColWidth="9.109375" defaultRowHeight="14.4" x14ac:dyDescent="0.3"/>
  <cols>
    <col min="1" max="1" width="2.109375" style="1" bestFit="1" customWidth="1"/>
    <col min="2" max="2" width="4.44140625" style="1" customWidth="1"/>
    <col min="3" max="3" width="22.33203125" style="1" customWidth="1"/>
    <col min="4" max="4" width="10.6640625" style="1" bestFit="1" customWidth="1"/>
    <col min="5" max="5" width="11.109375" style="39" customWidth="1"/>
    <col min="6" max="6" width="9.33203125" style="39" customWidth="1"/>
    <col min="7" max="7" width="14.44140625" style="3" bestFit="1" customWidth="1"/>
    <col min="8" max="8" width="9.6640625" style="3" customWidth="1"/>
    <col min="9" max="9" width="11" style="3" customWidth="1"/>
    <col min="10" max="10" width="14.44140625" style="3" bestFit="1" customWidth="1"/>
    <col min="11" max="11" width="13" style="1" customWidth="1"/>
    <col min="12" max="12" width="9.109375" style="1"/>
    <col min="13" max="13" width="18.33203125" style="3" customWidth="1"/>
    <col min="14" max="14" width="11.6640625" style="3" bestFit="1" customWidth="1"/>
    <col min="15" max="28" width="9.109375" style="3"/>
    <col min="29" max="16384" width="9.109375" style="1"/>
  </cols>
  <sheetData>
    <row r="1" spans="1:28" s="2" customFormat="1" ht="19.649999999999999" customHeight="1" x14ac:dyDescent="0.3">
      <c r="B1" s="839" t="s">
        <v>327</v>
      </c>
      <c r="C1" s="839"/>
      <c r="D1" s="187"/>
      <c r="E1" s="187"/>
      <c r="F1" s="187"/>
      <c r="G1" s="187"/>
      <c r="H1" s="187"/>
      <c r="I1" s="187"/>
      <c r="J1" s="187"/>
      <c r="K1" s="188"/>
      <c r="M1" s="5"/>
      <c r="N1" s="5"/>
      <c r="O1" s="5"/>
      <c r="P1" s="5"/>
      <c r="Q1" s="5"/>
      <c r="R1" s="5"/>
      <c r="S1" s="5"/>
      <c r="T1" s="185"/>
      <c r="U1" s="185"/>
      <c r="V1" s="185"/>
      <c r="W1" s="185"/>
      <c r="X1" s="185"/>
      <c r="Y1" s="185"/>
      <c r="Z1" s="185"/>
      <c r="AA1" s="185"/>
      <c r="AB1" s="185"/>
    </row>
    <row r="2" spans="1:28" s="2" customFormat="1" x14ac:dyDescent="0.3">
      <c r="B2" s="190" t="s">
        <v>46</v>
      </c>
      <c r="C2" s="191" t="s">
        <v>1</v>
      </c>
      <c r="D2" s="192" t="s">
        <v>3</v>
      </c>
      <c r="E2" s="191" t="s">
        <v>123</v>
      </c>
      <c r="F2" s="191" t="s">
        <v>23</v>
      </c>
      <c r="G2" s="193" t="s">
        <v>11</v>
      </c>
      <c r="H2" s="188"/>
      <c r="J2" s="185"/>
      <c r="K2" s="185"/>
      <c r="L2" s="185"/>
      <c r="M2" s="185"/>
      <c r="N2" s="185"/>
      <c r="O2" s="185"/>
      <c r="P2" s="185"/>
      <c r="Q2" s="185"/>
      <c r="R2" s="185"/>
      <c r="S2" s="185"/>
      <c r="T2" s="185"/>
      <c r="U2" s="185"/>
      <c r="V2" s="185"/>
      <c r="W2" s="185"/>
    </row>
    <row r="3" spans="1:28" s="2" customFormat="1" x14ac:dyDescent="0.3">
      <c r="B3" s="194"/>
      <c r="C3" s="195" t="s">
        <v>124</v>
      </c>
      <c r="D3" s="196"/>
      <c r="E3" s="196"/>
      <c r="F3" s="196"/>
      <c r="G3" s="197"/>
      <c r="H3" s="188"/>
      <c r="J3" s="185"/>
      <c r="K3" s="185"/>
      <c r="L3" s="185"/>
      <c r="M3" s="185"/>
      <c r="N3" s="185"/>
      <c r="O3" s="185"/>
      <c r="P3" s="5"/>
      <c r="Q3" s="5"/>
      <c r="R3" s="5"/>
      <c r="S3" s="5"/>
      <c r="T3" s="5"/>
      <c r="U3" s="5"/>
      <c r="V3" s="5"/>
      <c r="W3" s="5"/>
    </row>
    <row r="4" spans="1:28" s="2" customFormat="1" x14ac:dyDescent="0.3">
      <c r="B4" s="198">
        <v>1</v>
      </c>
      <c r="C4" s="204" t="s">
        <v>141</v>
      </c>
      <c r="D4" s="199"/>
      <c r="E4" s="199"/>
      <c r="F4" s="200"/>
      <c r="G4" s="201"/>
      <c r="H4" s="202"/>
      <c r="J4" s="5"/>
      <c r="K4" s="5"/>
      <c r="L4" s="5"/>
      <c r="M4" s="5"/>
      <c r="N4" s="5"/>
      <c r="O4" s="5"/>
      <c r="P4" s="185"/>
      <c r="Q4" s="185"/>
      <c r="R4" s="185"/>
      <c r="S4" s="185"/>
      <c r="T4" s="185"/>
      <c r="U4" s="185"/>
      <c r="V4" s="185"/>
      <c r="W4" s="185"/>
    </row>
    <row r="5" spans="1:28" s="2" customFormat="1" x14ac:dyDescent="0.3">
      <c r="B5" s="203"/>
      <c r="C5" s="208" t="s">
        <v>93</v>
      </c>
      <c r="D5" s="205">
        <v>0</v>
      </c>
      <c r="E5" s="205">
        <v>1</v>
      </c>
      <c r="F5" s="205">
        <f t="shared" ref="F5:F16" si="0">+PRODUCT(D5:E5)</f>
        <v>0</v>
      </c>
      <c r="G5" s="206"/>
      <c r="H5" s="207"/>
      <c r="J5" s="5"/>
      <c r="K5" s="5"/>
      <c r="L5" s="5"/>
      <c r="M5" s="5"/>
      <c r="N5" s="5"/>
      <c r="O5" s="5"/>
      <c r="P5" s="185"/>
      <c r="Q5" s="185"/>
      <c r="R5" s="185"/>
      <c r="S5" s="185"/>
      <c r="T5" s="185"/>
      <c r="U5" s="185"/>
      <c r="V5" s="185"/>
      <c r="W5" s="185"/>
    </row>
    <row r="6" spans="1:28" s="2" customFormat="1" x14ac:dyDescent="0.3">
      <c r="B6" s="203"/>
      <c r="C6" s="208" t="s">
        <v>94</v>
      </c>
      <c r="D6" s="205">
        <v>1</v>
      </c>
      <c r="E6" s="205">
        <f>+E5</f>
        <v>1</v>
      </c>
      <c r="F6" s="205">
        <f t="shared" si="0"/>
        <v>1</v>
      </c>
      <c r="G6" s="206"/>
      <c r="H6" s="207"/>
      <c r="J6" s="5"/>
      <c r="K6" s="5"/>
      <c r="L6" s="5"/>
      <c r="M6" s="5"/>
      <c r="N6" s="5"/>
      <c r="O6" s="5"/>
      <c r="P6" s="5"/>
      <c r="Q6" s="5"/>
      <c r="R6" s="5"/>
      <c r="S6" s="5"/>
      <c r="T6" s="5"/>
      <c r="U6" s="5"/>
      <c r="V6" s="5"/>
      <c r="W6" s="5"/>
    </row>
    <row r="7" spans="1:28" s="2" customFormat="1" x14ac:dyDescent="0.3">
      <c r="B7" s="203"/>
      <c r="C7" s="208" t="s">
        <v>386</v>
      </c>
      <c r="D7" s="205">
        <v>0</v>
      </c>
      <c r="E7" s="205">
        <f t="shared" ref="E7:E16" si="1">+E6</f>
        <v>1</v>
      </c>
      <c r="F7" s="205">
        <f t="shared" si="0"/>
        <v>0</v>
      </c>
      <c r="G7" s="206"/>
      <c r="H7" s="207"/>
      <c r="J7" s="5"/>
      <c r="K7" s="5"/>
      <c r="L7" s="5"/>
      <c r="M7" s="5"/>
      <c r="N7" s="5"/>
      <c r="O7" s="5"/>
      <c r="P7" s="5"/>
      <c r="Q7" s="5"/>
      <c r="R7" s="5"/>
      <c r="S7" s="5"/>
      <c r="T7" s="5"/>
      <c r="U7" s="5"/>
      <c r="V7" s="5"/>
      <c r="W7" s="5"/>
    </row>
    <row r="8" spans="1:28" s="2" customFormat="1" x14ac:dyDescent="0.3">
      <c r="B8" s="203"/>
      <c r="C8" s="208" t="s">
        <v>410</v>
      </c>
      <c r="D8" s="205">
        <v>0</v>
      </c>
      <c r="E8" s="205">
        <f t="shared" si="1"/>
        <v>1</v>
      </c>
      <c r="F8" s="205">
        <f t="shared" si="0"/>
        <v>0</v>
      </c>
      <c r="G8" s="206"/>
      <c r="H8" s="207"/>
      <c r="J8" s="5"/>
      <c r="K8" s="5"/>
      <c r="L8" s="5"/>
      <c r="M8" s="5"/>
      <c r="N8" s="5"/>
      <c r="O8" s="5"/>
      <c r="P8" s="5"/>
      <c r="Q8" s="5"/>
      <c r="R8" s="5"/>
      <c r="S8" s="5"/>
      <c r="T8" s="5"/>
      <c r="U8" s="5"/>
      <c r="V8" s="5"/>
      <c r="W8" s="5"/>
    </row>
    <row r="9" spans="1:28" s="2" customFormat="1" x14ac:dyDescent="0.3">
      <c r="B9" s="203"/>
      <c r="C9" s="208" t="s">
        <v>415</v>
      </c>
      <c r="D9" s="205">
        <v>0</v>
      </c>
      <c r="E9" s="205">
        <f t="shared" si="1"/>
        <v>1</v>
      </c>
      <c r="F9" s="205">
        <f t="shared" ref="F9:F11" si="2">+PRODUCT(D9:E9)</f>
        <v>0</v>
      </c>
      <c r="G9" s="206"/>
      <c r="H9" s="207"/>
      <c r="J9" s="5"/>
      <c r="K9" s="5"/>
      <c r="L9" s="5"/>
      <c r="M9" s="5"/>
      <c r="N9" s="5"/>
      <c r="O9" s="5"/>
      <c r="P9" s="5"/>
      <c r="Q9" s="5"/>
      <c r="R9" s="5"/>
      <c r="S9" s="5"/>
      <c r="T9" s="5"/>
      <c r="U9" s="5"/>
      <c r="V9" s="5"/>
      <c r="W9" s="5"/>
    </row>
    <row r="10" spans="1:28" s="2" customFormat="1" x14ac:dyDescent="0.3">
      <c r="B10" s="203"/>
      <c r="C10" s="208" t="s">
        <v>416</v>
      </c>
      <c r="D10" s="205">
        <v>0</v>
      </c>
      <c r="E10" s="205">
        <f t="shared" si="1"/>
        <v>1</v>
      </c>
      <c r="F10" s="205">
        <f t="shared" si="2"/>
        <v>0</v>
      </c>
      <c r="G10" s="206"/>
      <c r="H10" s="207"/>
      <c r="J10" s="5"/>
      <c r="K10" s="5"/>
      <c r="L10" s="5"/>
      <c r="M10" s="5"/>
      <c r="N10" s="5"/>
      <c r="O10" s="5"/>
      <c r="P10" s="5"/>
      <c r="Q10" s="5"/>
      <c r="R10" s="5"/>
      <c r="S10" s="5"/>
      <c r="T10" s="5"/>
      <c r="U10" s="5"/>
      <c r="V10" s="5"/>
      <c r="W10" s="5"/>
    </row>
    <row r="11" spans="1:28" s="2" customFormat="1" x14ac:dyDescent="0.3">
      <c r="B11" s="203"/>
      <c r="C11" s="208" t="s">
        <v>265</v>
      </c>
      <c r="D11" s="205">
        <v>0</v>
      </c>
      <c r="E11" s="205">
        <f t="shared" si="1"/>
        <v>1</v>
      </c>
      <c r="F11" s="205">
        <f t="shared" si="2"/>
        <v>0</v>
      </c>
      <c r="G11" s="206"/>
      <c r="H11" s="207"/>
      <c r="J11" s="5"/>
      <c r="K11" s="5"/>
      <c r="L11" s="5"/>
      <c r="M11" s="5"/>
      <c r="N11" s="5"/>
      <c r="O11" s="5"/>
      <c r="P11" s="5"/>
      <c r="Q11" s="5"/>
      <c r="R11" s="5"/>
      <c r="S11" s="5"/>
      <c r="T11" s="5"/>
      <c r="U11" s="5"/>
      <c r="V11" s="5"/>
      <c r="W11" s="5"/>
    </row>
    <row r="12" spans="1:28" s="2" customFormat="1" x14ac:dyDescent="0.3">
      <c r="B12" s="203"/>
      <c r="C12" s="208" t="s">
        <v>412</v>
      </c>
      <c r="D12" s="205">
        <v>0</v>
      </c>
      <c r="E12" s="205">
        <f t="shared" si="1"/>
        <v>1</v>
      </c>
      <c r="F12" s="205">
        <f t="shared" si="0"/>
        <v>0</v>
      </c>
      <c r="G12" s="206"/>
      <c r="H12" s="207"/>
      <c r="J12" s="5"/>
      <c r="K12" s="5"/>
      <c r="L12" s="5"/>
      <c r="M12" s="5"/>
      <c r="N12" s="5"/>
      <c r="O12" s="5"/>
      <c r="P12" s="5"/>
      <c r="Q12" s="5"/>
      <c r="R12" s="5"/>
      <c r="S12" s="5"/>
      <c r="T12" s="5"/>
      <c r="U12" s="5"/>
      <c r="V12" s="5"/>
      <c r="W12" s="5"/>
    </row>
    <row r="13" spans="1:28" s="2" customFormat="1" x14ac:dyDescent="0.3">
      <c r="B13" s="203"/>
      <c r="C13" s="208" t="s">
        <v>413</v>
      </c>
      <c r="D13" s="205">
        <v>0</v>
      </c>
      <c r="E13" s="205">
        <f t="shared" si="1"/>
        <v>1</v>
      </c>
      <c r="F13" s="205">
        <f t="shared" si="0"/>
        <v>0</v>
      </c>
      <c r="G13" s="206"/>
      <c r="H13" s="207"/>
      <c r="J13" s="5"/>
      <c r="K13" s="5"/>
      <c r="L13" s="5"/>
      <c r="M13" s="5"/>
      <c r="N13" s="5"/>
      <c r="O13" s="5"/>
      <c r="P13" s="5"/>
      <c r="Q13" s="5"/>
      <c r="R13" s="5"/>
      <c r="S13" s="5"/>
      <c r="T13" s="5"/>
      <c r="U13" s="5"/>
      <c r="V13" s="5"/>
      <c r="W13" s="5"/>
    </row>
    <row r="14" spans="1:28" s="2" customFormat="1" x14ac:dyDescent="0.3">
      <c r="B14" s="203"/>
      <c r="C14" s="208" t="s">
        <v>122</v>
      </c>
      <c r="D14" s="205">
        <v>0</v>
      </c>
      <c r="E14" s="205">
        <f t="shared" si="1"/>
        <v>1</v>
      </c>
      <c r="F14" s="205">
        <f t="shared" si="0"/>
        <v>0</v>
      </c>
      <c r="G14" s="206"/>
      <c r="H14" s="207"/>
      <c r="I14" s="186"/>
      <c r="J14" s="5"/>
      <c r="K14" s="5"/>
      <c r="L14" s="5"/>
      <c r="M14" s="5"/>
      <c r="N14" s="5"/>
      <c r="O14" s="5"/>
      <c r="P14" s="5"/>
      <c r="Q14" s="5"/>
      <c r="R14" s="5"/>
      <c r="S14" s="5"/>
      <c r="T14" s="5"/>
      <c r="U14" s="5"/>
      <c r="V14" s="5"/>
      <c r="W14" s="5"/>
    </row>
    <row r="15" spans="1:28" s="2" customFormat="1" x14ac:dyDescent="0.3">
      <c r="A15" s="2">
        <v>1</v>
      </c>
      <c r="B15" s="203"/>
      <c r="C15" s="208" t="s">
        <v>427</v>
      </c>
      <c r="D15" s="205">
        <v>0</v>
      </c>
      <c r="E15" s="205">
        <f t="shared" si="1"/>
        <v>1</v>
      </c>
      <c r="F15" s="205">
        <f t="shared" si="0"/>
        <v>0</v>
      </c>
      <c r="G15" s="206"/>
      <c r="H15" s="207"/>
      <c r="I15" s="186"/>
      <c r="J15" s="5"/>
      <c r="K15" s="5"/>
      <c r="L15" s="5"/>
      <c r="M15" s="5"/>
      <c r="N15" s="5"/>
      <c r="O15" s="5"/>
      <c r="P15" s="5"/>
      <c r="Q15" s="5"/>
      <c r="R15" s="5"/>
      <c r="S15" s="5"/>
      <c r="T15" s="5"/>
      <c r="U15" s="5"/>
      <c r="V15" s="5"/>
      <c r="W15" s="5"/>
    </row>
    <row r="16" spans="1:28" s="2" customFormat="1" x14ac:dyDescent="0.3">
      <c r="A16" s="2">
        <v>1</v>
      </c>
      <c r="B16" s="203"/>
      <c r="C16" s="208" t="s">
        <v>139</v>
      </c>
      <c r="D16" s="205">
        <v>0</v>
      </c>
      <c r="E16" s="205">
        <f t="shared" si="1"/>
        <v>1</v>
      </c>
      <c r="F16" s="205">
        <f t="shared" si="0"/>
        <v>0</v>
      </c>
      <c r="G16" s="206"/>
      <c r="H16" s="207"/>
      <c r="I16" s="186"/>
      <c r="J16" s="5"/>
      <c r="K16" s="5"/>
      <c r="L16" s="5"/>
      <c r="M16" s="5"/>
      <c r="N16" s="5"/>
      <c r="O16" s="5"/>
      <c r="P16" s="5"/>
      <c r="Q16" s="5"/>
      <c r="R16" s="5"/>
      <c r="S16" s="5"/>
      <c r="T16" s="5"/>
      <c r="U16" s="5"/>
      <c r="V16" s="5"/>
      <c r="W16" s="5"/>
    </row>
    <row r="17" spans="2:23" s="2" customFormat="1" x14ac:dyDescent="0.3">
      <c r="B17" s="194">
        <v>2</v>
      </c>
      <c r="C17" s="204" t="s">
        <v>428</v>
      </c>
      <c r="D17" s="196"/>
      <c r="E17" s="196"/>
      <c r="F17" s="209"/>
      <c r="G17" s="197"/>
      <c r="H17" s="188"/>
      <c r="J17" s="5"/>
      <c r="K17" s="5"/>
      <c r="L17" s="5"/>
      <c r="M17" s="5"/>
      <c r="N17" s="5"/>
      <c r="O17" s="5"/>
      <c r="P17" s="5"/>
      <c r="Q17" s="5"/>
      <c r="R17" s="5"/>
      <c r="S17" s="5"/>
      <c r="T17" s="5"/>
      <c r="U17" s="5"/>
      <c r="V17" s="5"/>
      <c r="W17" s="5"/>
    </row>
    <row r="18" spans="2:23" s="2" customFormat="1" x14ac:dyDescent="0.3">
      <c r="B18" s="203"/>
      <c r="C18" s="208" t="s">
        <v>93</v>
      </c>
      <c r="D18" s="205">
        <v>1</v>
      </c>
      <c r="E18" s="205">
        <v>1</v>
      </c>
      <c r="F18" s="205">
        <f t="shared" ref="F18:F29" si="3">+PRODUCT(D18:E18)</f>
        <v>1</v>
      </c>
      <c r="G18" s="206"/>
      <c r="H18" s="207"/>
      <c r="J18" s="5"/>
      <c r="K18" s="5"/>
      <c r="L18" s="5"/>
      <c r="M18" s="5"/>
      <c r="N18" s="5"/>
      <c r="O18" s="5"/>
      <c r="P18" s="5"/>
      <c r="Q18" s="5"/>
      <c r="R18" s="5"/>
      <c r="S18" s="5"/>
      <c r="T18" s="5"/>
      <c r="U18" s="5"/>
      <c r="V18" s="5"/>
      <c r="W18" s="5"/>
    </row>
    <row r="19" spans="2:23" s="2" customFormat="1" x14ac:dyDescent="0.3">
      <c r="B19" s="203"/>
      <c r="C19" s="208" t="s">
        <v>94</v>
      </c>
      <c r="D19" s="205">
        <v>2</v>
      </c>
      <c r="E19" s="205">
        <f>+E18</f>
        <v>1</v>
      </c>
      <c r="F19" s="205">
        <f t="shared" si="3"/>
        <v>2</v>
      </c>
      <c r="G19" s="206"/>
      <c r="H19" s="207"/>
      <c r="J19" s="5"/>
      <c r="K19" s="5"/>
      <c r="L19" s="5"/>
      <c r="M19" s="5"/>
      <c r="N19" s="5"/>
      <c r="O19" s="5"/>
      <c r="P19" s="5"/>
      <c r="Q19" s="5"/>
      <c r="R19" s="5"/>
      <c r="S19" s="5"/>
      <c r="T19" s="5"/>
      <c r="U19" s="5"/>
      <c r="V19" s="5"/>
      <c r="W19" s="5"/>
    </row>
    <row r="20" spans="2:23" s="2" customFormat="1" x14ac:dyDescent="0.3">
      <c r="B20" s="203"/>
      <c r="C20" s="208" t="s">
        <v>386</v>
      </c>
      <c r="D20" s="205">
        <v>0</v>
      </c>
      <c r="E20" s="205">
        <f t="shared" ref="E20:E29" si="4">+E19</f>
        <v>1</v>
      </c>
      <c r="F20" s="205">
        <f t="shared" si="3"/>
        <v>0</v>
      </c>
      <c r="G20" s="206"/>
      <c r="H20" s="207"/>
      <c r="J20" s="5"/>
      <c r="K20" s="5"/>
      <c r="L20" s="5"/>
      <c r="M20" s="5"/>
      <c r="N20" s="5"/>
      <c r="O20" s="5"/>
      <c r="P20" s="5"/>
      <c r="Q20" s="5"/>
      <c r="R20" s="5"/>
      <c r="S20" s="5"/>
      <c r="T20" s="5"/>
      <c r="U20" s="5"/>
      <c r="V20" s="5"/>
      <c r="W20" s="5"/>
    </row>
    <row r="21" spans="2:23" s="2" customFormat="1" x14ac:dyDescent="0.3">
      <c r="B21" s="203"/>
      <c r="C21" s="208" t="s">
        <v>410</v>
      </c>
      <c r="D21" s="205">
        <v>0</v>
      </c>
      <c r="E21" s="205">
        <f t="shared" si="4"/>
        <v>1</v>
      </c>
      <c r="F21" s="205">
        <f t="shared" si="3"/>
        <v>0</v>
      </c>
      <c r="G21" s="206"/>
      <c r="H21" s="207"/>
      <c r="J21" s="5"/>
      <c r="K21" s="5"/>
      <c r="L21" s="5"/>
      <c r="M21" s="5"/>
      <c r="N21" s="5"/>
      <c r="O21" s="5"/>
      <c r="P21" s="5"/>
      <c r="Q21" s="5"/>
      <c r="R21" s="5"/>
      <c r="S21" s="5"/>
      <c r="T21" s="5"/>
      <c r="U21" s="5"/>
      <c r="V21" s="5"/>
      <c r="W21" s="5"/>
    </row>
    <row r="22" spans="2:23" s="2" customFormat="1" x14ac:dyDescent="0.3">
      <c r="B22" s="203"/>
      <c r="C22" s="208" t="s">
        <v>415</v>
      </c>
      <c r="D22" s="205">
        <v>0</v>
      </c>
      <c r="E22" s="205">
        <f t="shared" si="4"/>
        <v>1</v>
      </c>
      <c r="F22" s="205">
        <f t="shared" si="3"/>
        <v>0</v>
      </c>
      <c r="G22" s="206"/>
      <c r="H22" s="207"/>
      <c r="J22" s="5"/>
      <c r="K22" s="5"/>
      <c r="L22" s="5"/>
      <c r="M22" s="5"/>
      <c r="N22" s="5"/>
      <c r="O22" s="5"/>
      <c r="P22" s="5"/>
      <c r="Q22" s="5"/>
      <c r="R22" s="5"/>
      <c r="S22" s="5"/>
      <c r="T22" s="5"/>
      <c r="U22" s="5"/>
      <c r="V22" s="5"/>
      <c r="W22" s="5"/>
    </row>
    <row r="23" spans="2:23" s="2" customFormat="1" x14ac:dyDescent="0.3">
      <c r="B23" s="203"/>
      <c r="C23" s="208" t="s">
        <v>416</v>
      </c>
      <c r="D23" s="205">
        <v>2</v>
      </c>
      <c r="E23" s="205">
        <f t="shared" si="4"/>
        <v>1</v>
      </c>
      <c r="F23" s="205">
        <f t="shared" si="3"/>
        <v>2</v>
      </c>
      <c r="G23" s="206"/>
      <c r="H23" s="207"/>
      <c r="J23" s="5"/>
      <c r="K23" s="5"/>
      <c r="L23" s="5"/>
      <c r="M23" s="5"/>
      <c r="N23" s="5"/>
      <c r="O23" s="5"/>
      <c r="P23" s="5"/>
      <c r="Q23" s="5"/>
      <c r="R23" s="5"/>
      <c r="S23" s="5"/>
      <c r="T23" s="5"/>
      <c r="U23" s="5"/>
      <c r="V23" s="5"/>
      <c r="W23" s="5"/>
    </row>
    <row r="24" spans="2:23" s="2" customFormat="1" x14ac:dyDescent="0.3">
      <c r="B24" s="203"/>
      <c r="C24" s="208" t="s">
        <v>265</v>
      </c>
      <c r="D24" s="205">
        <v>0</v>
      </c>
      <c r="E24" s="205">
        <f t="shared" si="4"/>
        <v>1</v>
      </c>
      <c r="F24" s="205">
        <f t="shared" si="3"/>
        <v>0</v>
      </c>
      <c r="G24" s="206"/>
      <c r="H24" s="207"/>
      <c r="J24" s="5"/>
      <c r="K24" s="5"/>
      <c r="L24" s="5"/>
      <c r="M24" s="5"/>
      <c r="N24" s="5"/>
      <c r="O24" s="5"/>
      <c r="P24" s="5"/>
      <c r="Q24" s="5"/>
      <c r="R24" s="5"/>
      <c r="S24" s="5"/>
      <c r="T24" s="5"/>
      <c r="U24" s="5"/>
      <c r="V24" s="5"/>
      <c r="W24" s="5"/>
    </row>
    <row r="25" spans="2:23" s="2" customFormat="1" x14ac:dyDescent="0.3">
      <c r="B25" s="203"/>
      <c r="C25" s="208" t="s">
        <v>412</v>
      </c>
      <c r="D25" s="205">
        <v>0</v>
      </c>
      <c r="E25" s="205">
        <f t="shared" si="4"/>
        <v>1</v>
      </c>
      <c r="F25" s="205">
        <f t="shared" si="3"/>
        <v>0</v>
      </c>
      <c r="G25" s="206"/>
      <c r="H25" s="207"/>
      <c r="J25" s="5"/>
      <c r="K25" s="5"/>
      <c r="L25" s="5"/>
      <c r="M25" s="5"/>
      <c r="N25" s="5"/>
      <c r="O25" s="5"/>
      <c r="P25" s="5"/>
      <c r="Q25" s="5"/>
      <c r="R25" s="5"/>
      <c r="S25" s="5"/>
      <c r="T25" s="5"/>
      <c r="U25" s="5"/>
      <c r="V25" s="5"/>
      <c r="W25" s="5"/>
    </row>
    <row r="26" spans="2:23" s="2" customFormat="1" x14ac:dyDescent="0.3">
      <c r="B26" s="203"/>
      <c r="C26" s="208" t="s">
        <v>413</v>
      </c>
      <c r="D26" s="205">
        <v>0</v>
      </c>
      <c r="E26" s="205">
        <f t="shared" si="4"/>
        <v>1</v>
      </c>
      <c r="F26" s="205">
        <f t="shared" si="3"/>
        <v>0</v>
      </c>
      <c r="G26" s="206"/>
      <c r="H26" s="207"/>
      <c r="I26" s="186"/>
      <c r="J26" s="5"/>
      <c r="K26" s="5"/>
      <c r="L26" s="5"/>
      <c r="M26" s="5"/>
      <c r="N26" s="5"/>
      <c r="O26" s="5"/>
      <c r="P26" s="5"/>
      <c r="Q26" s="5"/>
      <c r="R26" s="5"/>
      <c r="S26" s="5"/>
      <c r="T26" s="5"/>
      <c r="U26" s="5"/>
      <c r="V26" s="5"/>
      <c r="W26" s="5"/>
    </row>
    <row r="27" spans="2:23" s="2" customFormat="1" x14ac:dyDescent="0.3">
      <c r="B27" s="203"/>
      <c r="C27" s="208" t="s">
        <v>122</v>
      </c>
      <c r="D27" s="205">
        <v>0</v>
      </c>
      <c r="E27" s="205">
        <f t="shared" si="4"/>
        <v>1</v>
      </c>
      <c r="F27" s="205">
        <f t="shared" si="3"/>
        <v>0</v>
      </c>
      <c r="G27" s="206"/>
      <c r="H27" s="207"/>
      <c r="I27" s="186"/>
      <c r="J27" s="5"/>
      <c r="K27" s="5"/>
      <c r="L27" s="5"/>
      <c r="M27" s="5"/>
      <c r="N27" s="5"/>
      <c r="O27" s="5"/>
      <c r="P27" s="5"/>
      <c r="Q27" s="5"/>
      <c r="R27" s="5"/>
      <c r="S27" s="5"/>
      <c r="T27" s="5"/>
      <c r="U27" s="5"/>
      <c r="V27" s="5"/>
      <c r="W27" s="5"/>
    </row>
    <row r="28" spans="2:23" s="2" customFormat="1" x14ac:dyDescent="0.3">
      <c r="B28" s="203"/>
      <c r="C28" s="208" t="s">
        <v>427</v>
      </c>
      <c r="D28" s="205">
        <v>1</v>
      </c>
      <c r="E28" s="205">
        <f t="shared" si="4"/>
        <v>1</v>
      </c>
      <c r="F28" s="205">
        <f t="shared" si="3"/>
        <v>1</v>
      </c>
      <c r="G28" s="206"/>
      <c r="H28" s="207"/>
      <c r="I28" s="186"/>
      <c r="J28" s="5"/>
      <c r="K28" s="5"/>
      <c r="L28" s="5"/>
      <c r="M28" s="5"/>
      <c r="N28" s="5"/>
      <c r="O28" s="5"/>
      <c r="P28" s="5"/>
      <c r="Q28" s="5"/>
      <c r="R28" s="5"/>
      <c r="S28" s="5"/>
      <c r="T28" s="5"/>
      <c r="U28" s="5"/>
      <c r="V28" s="5"/>
      <c r="W28" s="5"/>
    </row>
    <row r="29" spans="2:23" s="2" customFormat="1" x14ac:dyDescent="0.3">
      <c r="B29" s="203"/>
      <c r="C29" s="208" t="s">
        <v>139</v>
      </c>
      <c r="D29" s="205">
        <v>2</v>
      </c>
      <c r="E29" s="205">
        <f t="shared" si="4"/>
        <v>1</v>
      </c>
      <c r="F29" s="205">
        <f t="shared" si="3"/>
        <v>2</v>
      </c>
      <c r="G29" s="206"/>
      <c r="H29" s="207"/>
      <c r="I29" s="186"/>
      <c r="J29" s="5"/>
      <c r="K29" s="5"/>
      <c r="L29" s="5"/>
      <c r="M29" s="5"/>
      <c r="N29" s="5"/>
      <c r="O29" s="5"/>
      <c r="P29" s="5"/>
      <c r="Q29" s="5"/>
      <c r="R29" s="5"/>
      <c r="S29" s="5"/>
      <c r="T29" s="5"/>
      <c r="U29" s="5"/>
      <c r="V29" s="5"/>
      <c r="W29" s="5"/>
    </row>
    <row r="30" spans="2:23" s="2" customFormat="1" x14ac:dyDescent="0.3">
      <c r="B30" s="194"/>
      <c r="C30" s="204" t="s">
        <v>429</v>
      </c>
      <c r="D30" s="196"/>
      <c r="E30" s="196"/>
      <c r="F30" s="209"/>
      <c r="G30" s="197"/>
      <c r="H30" s="188"/>
      <c r="J30" s="5"/>
      <c r="K30" s="5"/>
      <c r="L30" s="5"/>
      <c r="M30" s="5"/>
      <c r="N30" s="5"/>
      <c r="O30" s="5"/>
      <c r="P30" s="5"/>
      <c r="Q30" s="5"/>
      <c r="R30" s="5"/>
      <c r="S30" s="5"/>
      <c r="T30" s="5"/>
      <c r="U30" s="5"/>
      <c r="V30" s="5"/>
      <c r="W30" s="5"/>
    </row>
    <row r="31" spans="2:23" s="2" customFormat="1" x14ac:dyDescent="0.3">
      <c r="B31" s="203"/>
      <c r="C31" s="208" t="s">
        <v>93</v>
      </c>
      <c r="D31" s="205">
        <v>1</v>
      </c>
      <c r="E31" s="205">
        <v>3</v>
      </c>
      <c r="F31" s="205">
        <f t="shared" ref="F31:F42" si="5">+PRODUCT(D31:E31)</f>
        <v>3</v>
      </c>
      <c r="G31" s="206"/>
      <c r="H31" s="207"/>
      <c r="J31" s="5"/>
      <c r="K31" s="5"/>
      <c r="L31" s="5"/>
      <c r="M31" s="5"/>
      <c r="N31" s="5"/>
      <c r="O31" s="5"/>
      <c r="P31" s="5"/>
      <c r="Q31" s="5"/>
      <c r="R31" s="5"/>
      <c r="S31" s="5"/>
      <c r="T31" s="5"/>
      <c r="U31" s="5"/>
      <c r="V31" s="5"/>
      <c r="W31" s="5"/>
    </row>
    <row r="32" spans="2:23" s="2" customFormat="1" x14ac:dyDescent="0.3">
      <c r="B32" s="203"/>
      <c r="C32" s="208" t="s">
        <v>94</v>
      </c>
      <c r="D32" s="205">
        <v>2</v>
      </c>
      <c r="E32" s="205">
        <f>+E31</f>
        <v>3</v>
      </c>
      <c r="F32" s="205">
        <f t="shared" si="5"/>
        <v>6</v>
      </c>
      <c r="G32" s="206"/>
      <c r="H32" s="207"/>
      <c r="J32" s="5"/>
      <c r="K32" s="5"/>
      <c r="L32" s="5"/>
      <c r="M32" s="5"/>
      <c r="N32" s="5"/>
      <c r="O32" s="5"/>
      <c r="P32" s="5"/>
      <c r="Q32" s="5"/>
      <c r="R32" s="5"/>
      <c r="S32" s="5"/>
      <c r="T32" s="5"/>
      <c r="U32" s="5"/>
      <c r="V32" s="5"/>
      <c r="W32" s="5"/>
    </row>
    <row r="33" spans="2:28" s="2" customFormat="1" x14ac:dyDescent="0.3">
      <c r="B33" s="203"/>
      <c r="C33" s="208" t="s">
        <v>386</v>
      </c>
      <c r="D33" s="205">
        <v>0</v>
      </c>
      <c r="E33" s="205">
        <f t="shared" ref="E33:E42" si="6">+E32</f>
        <v>3</v>
      </c>
      <c r="F33" s="205">
        <f t="shared" si="5"/>
        <v>0</v>
      </c>
      <c r="G33" s="206"/>
      <c r="H33" s="207"/>
      <c r="J33" s="5"/>
      <c r="K33" s="5"/>
      <c r="L33" s="5"/>
      <c r="M33" s="5"/>
      <c r="N33" s="5"/>
      <c r="O33" s="5"/>
      <c r="P33" s="5"/>
      <c r="Q33" s="5"/>
      <c r="R33" s="5"/>
      <c r="S33" s="5"/>
      <c r="T33" s="5"/>
      <c r="U33" s="5"/>
      <c r="V33" s="5"/>
      <c r="W33" s="5"/>
    </row>
    <row r="34" spans="2:28" s="2" customFormat="1" x14ac:dyDescent="0.3">
      <c r="B34" s="203"/>
      <c r="C34" s="208" t="s">
        <v>410</v>
      </c>
      <c r="D34" s="205">
        <v>0</v>
      </c>
      <c r="E34" s="205">
        <f t="shared" si="6"/>
        <v>3</v>
      </c>
      <c r="F34" s="205">
        <f>+PRODUCT(D34:E34)</f>
        <v>0</v>
      </c>
      <c r="G34" s="206"/>
      <c r="H34" s="207"/>
      <c r="J34" s="3"/>
      <c r="K34" s="3"/>
      <c r="L34" s="3"/>
      <c r="M34" s="3"/>
      <c r="N34" s="3"/>
      <c r="O34" s="3"/>
      <c r="P34" s="5"/>
      <c r="Q34" s="5"/>
      <c r="R34" s="5"/>
      <c r="S34" s="5"/>
      <c r="T34" s="5"/>
      <c r="U34" s="5"/>
      <c r="V34" s="5"/>
      <c r="W34" s="5"/>
    </row>
    <row r="35" spans="2:28" s="2" customFormat="1" x14ac:dyDescent="0.3">
      <c r="B35" s="203"/>
      <c r="C35" s="208" t="s">
        <v>415</v>
      </c>
      <c r="D35" s="205">
        <v>0</v>
      </c>
      <c r="E35" s="205">
        <f t="shared" si="6"/>
        <v>3</v>
      </c>
      <c r="F35" s="205">
        <f t="shared" si="5"/>
        <v>0</v>
      </c>
      <c r="G35" s="206"/>
      <c r="H35" s="207"/>
      <c r="J35" s="210"/>
      <c r="K35" s="210"/>
      <c r="L35" s="210"/>
      <c r="M35" s="210"/>
      <c r="N35" s="210"/>
      <c r="O35" s="210"/>
      <c r="P35" s="5"/>
      <c r="Q35" s="5"/>
      <c r="R35" s="5"/>
      <c r="S35" s="5"/>
      <c r="T35" s="5"/>
      <c r="U35" s="5"/>
      <c r="V35" s="5"/>
      <c r="W35" s="5"/>
    </row>
    <row r="36" spans="2:28" s="2" customFormat="1" x14ac:dyDescent="0.3">
      <c r="B36" s="203"/>
      <c r="C36" s="208" t="s">
        <v>416</v>
      </c>
      <c r="D36" s="205">
        <v>2</v>
      </c>
      <c r="E36" s="205">
        <f t="shared" si="6"/>
        <v>3</v>
      </c>
      <c r="F36" s="205">
        <f t="shared" si="5"/>
        <v>6</v>
      </c>
      <c r="G36" s="206"/>
      <c r="H36" s="207"/>
      <c r="J36" s="210"/>
      <c r="K36" s="210"/>
      <c r="L36" s="210"/>
      <c r="M36" s="210"/>
      <c r="N36" s="210"/>
      <c r="O36" s="210"/>
      <c r="P36" s="5"/>
      <c r="Q36" s="5"/>
      <c r="R36" s="5"/>
      <c r="S36" s="5"/>
      <c r="T36" s="5"/>
      <c r="U36" s="5"/>
      <c r="V36" s="5"/>
      <c r="W36" s="5"/>
    </row>
    <row r="37" spans="2:28" s="2" customFormat="1" x14ac:dyDescent="0.3">
      <c r="B37" s="203"/>
      <c r="C37" s="208" t="s">
        <v>265</v>
      </c>
      <c r="D37" s="205">
        <v>0</v>
      </c>
      <c r="E37" s="205">
        <f t="shared" si="6"/>
        <v>3</v>
      </c>
      <c r="F37" s="205">
        <f t="shared" si="5"/>
        <v>0</v>
      </c>
      <c r="G37" s="206"/>
      <c r="H37" s="207"/>
      <c r="I37" s="186"/>
      <c r="J37" s="5"/>
      <c r="K37" s="5"/>
      <c r="L37" s="5"/>
      <c r="M37" s="5"/>
      <c r="N37" s="5"/>
      <c r="O37" s="5"/>
      <c r="P37" s="5"/>
      <c r="Q37" s="5"/>
      <c r="R37" s="5"/>
      <c r="S37" s="5"/>
      <c r="T37" s="5"/>
      <c r="U37" s="5"/>
      <c r="V37" s="5"/>
      <c r="W37" s="5"/>
    </row>
    <row r="38" spans="2:28" x14ac:dyDescent="0.3">
      <c r="B38" s="194"/>
      <c r="C38" s="208" t="s">
        <v>412</v>
      </c>
      <c r="D38" s="205">
        <v>0</v>
      </c>
      <c r="E38" s="205">
        <f t="shared" si="6"/>
        <v>3</v>
      </c>
      <c r="F38" s="205">
        <f t="shared" si="5"/>
        <v>0</v>
      </c>
      <c r="G38" s="206"/>
      <c r="H38" s="202"/>
      <c r="I38" s="1"/>
      <c r="J38" s="210"/>
      <c r="K38" s="210"/>
      <c r="L38" s="210"/>
      <c r="M38" s="210"/>
      <c r="N38" s="210"/>
      <c r="O38" s="210"/>
      <c r="X38" s="1"/>
      <c r="Y38" s="1"/>
      <c r="Z38" s="1"/>
      <c r="AA38" s="1"/>
      <c r="AB38" s="1"/>
    </row>
    <row r="39" spans="2:28" s="188" customFormat="1" x14ac:dyDescent="0.3">
      <c r="B39" s="203"/>
      <c r="C39" s="208" t="s">
        <v>413</v>
      </c>
      <c r="D39" s="205">
        <v>0</v>
      </c>
      <c r="E39" s="205">
        <f t="shared" si="6"/>
        <v>3</v>
      </c>
      <c r="F39" s="205">
        <f t="shared" si="5"/>
        <v>0</v>
      </c>
      <c r="G39" s="206"/>
      <c r="H39" s="207"/>
      <c r="J39" s="210"/>
      <c r="K39" s="210"/>
      <c r="L39" s="210"/>
      <c r="M39" s="210"/>
      <c r="N39" s="210"/>
      <c r="O39" s="210"/>
      <c r="P39" s="210"/>
      <c r="Q39" s="210"/>
      <c r="R39" s="210"/>
      <c r="S39" s="210"/>
      <c r="T39" s="210"/>
      <c r="U39" s="210"/>
      <c r="V39" s="210"/>
      <c r="W39" s="210"/>
    </row>
    <row r="40" spans="2:28" s="188" customFormat="1" x14ac:dyDescent="0.3">
      <c r="B40" s="203"/>
      <c r="C40" s="208" t="s">
        <v>122</v>
      </c>
      <c r="D40" s="205">
        <v>0</v>
      </c>
      <c r="E40" s="205">
        <f t="shared" si="6"/>
        <v>3</v>
      </c>
      <c r="F40" s="205">
        <f t="shared" si="5"/>
        <v>0</v>
      </c>
      <c r="G40" s="206"/>
      <c r="H40" s="207"/>
      <c r="J40" s="207"/>
      <c r="K40" s="207"/>
      <c r="L40" s="207"/>
      <c r="M40" s="207"/>
      <c r="N40" s="207"/>
      <c r="O40" s="207"/>
      <c r="P40" s="210"/>
      <c r="Q40" s="210"/>
      <c r="R40" s="210"/>
      <c r="S40" s="210"/>
      <c r="T40" s="210"/>
      <c r="U40" s="210"/>
      <c r="V40" s="210"/>
      <c r="W40" s="210"/>
    </row>
    <row r="41" spans="2:28" s="188" customFormat="1" x14ac:dyDescent="0.3">
      <c r="B41" s="203"/>
      <c r="C41" s="208" t="s">
        <v>427</v>
      </c>
      <c r="D41" s="205">
        <v>0</v>
      </c>
      <c r="E41" s="205">
        <f t="shared" si="6"/>
        <v>3</v>
      </c>
      <c r="F41" s="205">
        <f t="shared" si="5"/>
        <v>0</v>
      </c>
      <c r="G41" s="206"/>
      <c r="H41" s="207"/>
      <c r="J41" s="207"/>
      <c r="K41" s="207"/>
      <c r="L41" s="207"/>
      <c r="M41" s="207"/>
      <c r="N41" s="207"/>
      <c r="O41" s="207"/>
      <c r="P41" s="210"/>
      <c r="Q41" s="210"/>
      <c r="R41" s="210"/>
      <c r="S41" s="210"/>
      <c r="T41" s="210"/>
      <c r="U41" s="210"/>
      <c r="V41" s="210"/>
      <c r="W41" s="210"/>
    </row>
    <row r="42" spans="2:28" s="188" customFormat="1" x14ac:dyDescent="0.3">
      <c r="B42" s="203"/>
      <c r="C42" s="208" t="s">
        <v>139</v>
      </c>
      <c r="D42" s="205">
        <v>2</v>
      </c>
      <c r="E42" s="205">
        <f t="shared" si="6"/>
        <v>3</v>
      </c>
      <c r="F42" s="205">
        <f t="shared" si="5"/>
        <v>6</v>
      </c>
      <c r="G42" s="206"/>
      <c r="H42" s="207"/>
      <c r="J42" s="207"/>
      <c r="K42" s="207"/>
      <c r="L42" s="207"/>
      <c r="M42" s="207"/>
      <c r="N42" s="207"/>
      <c r="O42" s="207"/>
      <c r="P42" s="210"/>
      <c r="Q42" s="210"/>
      <c r="R42" s="210"/>
      <c r="S42" s="210"/>
      <c r="T42" s="210"/>
      <c r="U42" s="210"/>
      <c r="V42" s="210"/>
      <c r="W42" s="210"/>
    </row>
    <row r="43" spans="2:28" s="2" customFormat="1" x14ac:dyDescent="0.3">
      <c r="B43" s="203"/>
      <c r="C43" s="211"/>
      <c r="D43" s="212"/>
      <c r="E43" s="212"/>
      <c r="F43" s="205"/>
      <c r="G43" s="206"/>
      <c r="H43" s="207"/>
      <c r="I43" s="186"/>
      <c r="J43" s="5"/>
      <c r="K43" s="5"/>
      <c r="L43" s="5"/>
      <c r="M43" s="5"/>
      <c r="N43" s="5"/>
      <c r="O43" s="5"/>
      <c r="P43" s="5"/>
      <c r="Q43" s="5"/>
      <c r="R43" s="5"/>
      <c r="S43" s="5"/>
      <c r="T43" s="5"/>
      <c r="U43" s="5"/>
      <c r="V43" s="5"/>
      <c r="W43" s="5"/>
    </row>
    <row r="44" spans="2:28" s="2" customFormat="1" x14ac:dyDescent="0.3">
      <c r="B44" s="203"/>
      <c r="C44" s="211"/>
      <c r="D44" s="212"/>
      <c r="E44" s="212"/>
      <c r="F44" s="205"/>
      <c r="G44" s="206"/>
      <c r="H44" s="207"/>
      <c r="I44" s="186"/>
      <c r="J44" s="5"/>
      <c r="K44" s="5"/>
      <c r="L44" s="5"/>
      <c r="M44" s="5"/>
      <c r="N44" s="5"/>
      <c r="O44" s="5"/>
      <c r="P44" s="5"/>
      <c r="Q44" s="5"/>
      <c r="R44" s="5"/>
      <c r="S44" s="5"/>
      <c r="T44" s="5"/>
      <c r="U44" s="5"/>
      <c r="V44" s="5"/>
      <c r="W44" s="5"/>
    </row>
    <row r="45" spans="2:28" s="207" customFormat="1" x14ac:dyDescent="0.3">
      <c r="B45" s="203"/>
      <c r="C45" s="221" t="s">
        <v>125</v>
      </c>
      <c r="D45" s="222"/>
      <c r="E45" s="222"/>
      <c r="F45" s="223">
        <f>SUM(F5:F42)</f>
        <v>30</v>
      </c>
      <c r="G45" s="206"/>
    </row>
    <row r="46" spans="2:28" s="207" customFormat="1" ht="19.649999999999999" customHeight="1" x14ac:dyDescent="0.3">
      <c r="B46" s="187"/>
      <c r="C46" s="189"/>
      <c r="D46" s="187"/>
      <c r="E46" s="187"/>
      <c r="F46" s="187"/>
      <c r="G46" s="187"/>
      <c r="H46" s="187"/>
      <c r="I46" s="187"/>
      <c r="J46" s="187"/>
      <c r="K46" s="188"/>
    </row>
    <row r="47" spans="2:28" s="207" customFormat="1" ht="19.649999999999999" customHeight="1" x14ac:dyDescent="0.3">
      <c r="B47" s="840" t="s">
        <v>46</v>
      </c>
      <c r="C47" s="840" t="s">
        <v>1</v>
      </c>
      <c r="D47" s="840" t="s">
        <v>3</v>
      </c>
      <c r="E47" s="840"/>
      <c r="F47" s="187"/>
      <c r="G47" s="187"/>
      <c r="H47" s="187"/>
      <c r="I47" s="187"/>
      <c r="J47" s="187"/>
      <c r="K47" s="187"/>
    </row>
    <row r="48" spans="2:28" s="188" customFormat="1" ht="19.649999999999999" customHeight="1" x14ac:dyDescent="0.3">
      <c r="B48" s="840"/>
      <c r="C48" s="840"/>
      <c r="D48" s="213" t="s">
        <v>126</v>
      </c>
      <c r="E48" s="213" t="s">
        <v>127</v>
      </c>
      <c r="F48" s="187"/>
      <c r="G48" s="187"/>
      <c r="H48" s="187"/>
      <c r="I48" s="187"/>
      <c r="J48" s="187"/>
      <c r="K48" s="187"/>
      <c r="M48" s="207"/>
      <c r="N48" s="207"/>
      <c r="O48" s="207"/>
      <c r="P48" s="207"/>
      <c r="Q48" s="207"/>
      <c r="R48" s="207"/>
      <c r="S48" s="207"/>
      <c r="T48" s="210"/>
      <c r="U48" s="210"/>
      <c r="V48" s="210"/>
      <c r="W48" s="210"/>
      <c r="X48" s="210"/>
      <c r="Y48" s="210"/>
      <c r="Z48" s="210"/>
      <c r="AA48" s="210"/>
      <c r="AB48" s="210"/>
    </row>
    <row r="49" spans="2:28" s="207" customFormat="1" ht="19.649999999999999" customHeight="1" x14ac:dyDescent="0.3">
      <c r="B49" s="214">
        <v>1</v>
      </c>
      <c r="C49" s="215" t="s">
        <v>430</v>
      </c>
      <c r="D49" s="216">
        <f>+F45*2</f>
        <v>60</v>
      </c>
      <c r="E49" s="216">
        <f>+F45*2</f>
        <v>60</v>
      </c>
      <c r="F49" s="187"/>
      <c r="G49" s="187"/>
      <c r="H49" s="187"/>
      <c r="I49" s="187"/>
      <c r="J49" s="187"/>
      <c r="K49" s="187"/>
    </row>
    <row r="50" spans="2:28" s="207" customFormat="1" ht="19.649999999999999" customHeight="1" x14ac:dyDescent="0.3">
      <c r="B50" s="214">
        <f>+B49+1</f>
        <v>2</v>
      </c>
      <c r="C50" s="215" t="s">
        <v>128</v>
      </c>
      <c r="D50" s="214">
        <v>0</v>
      </c>
      <c r="E50" s="214">
        <v>0</v>
      </c>
      <c r="F50" s="187"/>
      <c r="G50" s="187"/>
      <c r="H50" s="187"/>
      <c r="I50" s="187"/>
      <c r="J50" s="187"/>
      <c r="K50" s="187"/>
    </row>
    <row r="51" spans="2:28" s="207" customFormat="1" ht="19.649999999999999" customHeight="1" x14ac:dyDescent="0.3">
      <c r="B51" s="214"/>
      <c r="C51" s="214"/>
      <c r="D51" s="214">
        <f>SUM(D49:D50)</f>
        <v>60</v>
      </c>
      <c r="E51" s="214">
        <f>SUM(E49:E50)</f>
        <v>60</v>
      </c>
      <c r="F51" s="187"/>
      <c r="G51" s="187"/>
      <c r="H51" s="187"/>
      <c r="I51" s="187"/>
      <c r="J51" s="187"/>
      <c r="K51" s="187"/>
    </row>
    <row r="52" spans="2:28" s="207" customFormat="1" ht="19.649999999999999" customHeight="1" x14ac:dyDescent="0.3">
      <c r="B52" s="217"/>
      <c r="C52" s="217"/>
      <c r="D52" s="218">
        <f>D51*(6/1000)</f>
        <v>0.36</v>
      </c>
      <c r="E52" s="218">
        <f>E51*(10/1000)</f>
        <v>0.6</v>
      </c>
      <c r="F52" s="219">
        <f>SUM(D52:E52)</f>
        <v>0.96</v>
      </c>
      <c r="G52" s="226" t="s">
        <v>131</v>
      </c>
      <c r="H52" s="187"/>
      <c r="I52" s="187"/>
      <c r="J52" s="187"/>
      <c r="K52" s="187"/>
    </row>
    <row r="53" spans="2:28" s="207" customFormat="1" ht="19.649999999999999" customHeight="1" x14ac:dyDescent="0.3">
      <c r="B53" s="214"/>
      <c r="C53" s="214"/>
      <c r="D53" s="214"/>
      <c r="E53" s="214"/>
      <c r="F53" s="187"/>
      <c r="G53" s="187"/>
      <c r="H53" s="187"/>
      <c r="I53" s="187"/>
      <c r="J53" s="187"/>
      <c r="K53" s="187"/>
    </row>
    <row r="54" spans="2:28" s="202" customFormat="1" ht="19.649999999999999" customHeight="1" x14ac:dyDescent="0.3">
      <c r="B54" s="1"/>
      <c r="C54" s="1"/>
      <c r="D54" s="1"/>
      <c r="E54" s="138"/>
      <c r="F54" s="138"/>
      <c r="G54" s="3"/>
      <c r="H54" s="3"/>
      <c r="I54" s="3"/>
      <c r="J54" s="3"/>
      <c r="K54" s="1"/>
      <c r="M54" s="207"/>
      <c r="N54" s="207"/>
      <c r="O54" s="207"/>
      <c r="P54" s="207"/>
      <c r="Q54" s="207"/>
      <c r="R54" s="207"/>
      <c r="S54" s="207"/>
      <c r="T54" s="207"/>
      <c r="U54" s="207"/>
      <c r="V54" s="207"/>
      <c r="W54" s="207"/>
      <c r="X54" s="207"/>
      <c r="Y54" s="207"/>
      <c r="Z54" s="207"/>
      <c r="AA54" s="207"/>
      <c r="AB54" s="207"/>
    </row>
    <row r="55" spans="2:28" s="207" customFormat="1" ht="19.649999999999999" customHeight="1" x14ac:dyDescent="0.3">
      <c r="B55" s="1"/>
      <c r="C55" s="1"/>
      <c r="D55" s="1"/>
      <c r="E55" s="138"/>
      <c r="F55" s="138"/>
      <c r="G55" s="3"/>
      <c r="H55" s="3"/>
      <c r="I55" s="3"/>
      <c r="J55" s="3"/>
      <c r="K55" s="1"/>
    </row>
    <row r="56" spans="2:28" s="207" customFormat="1" ht="19.649999999999999" customHeight="1" x14ac:dyDescent="0.3">
      <c r="B56" s="1"/>
      <c r="C56" s="1"/>
      <c r="D56" s="1"/>
      <c r="E56" s="39"/>
      <c r="F56" s="39"/>
      <c r="G56" s="3"/>
      <c r="H56" s="3"/>
      <c r="I56" s="3"/>
      <c r="J56" s="3"/>
      <c r="K56" s="1"/>
    </row>
    <row r="57" spans="2:28" s="207" customFormat="1" ht="19.649999999999999" customHeight="1" x14ac:dyDescent="0.3">
      <c r="B57" s="1"/>
      <c r="C57" s="1"/>
      <c r="D57" s="1"/>
      <c r="E57" s="39"/>
      <c r="F57" s="39"/>
      <c r="G57" s="3"/>
      <c r="H57" s="3"/>
      <c r="I57" s="3"/>
      <c r="J57" s="3"/>
      <c r="K57" s="1"/>
    </row>
    <row r="58" spans="2:28" s="207" customFormat="1" ht="19.649999999999999" customHeight="1" x14ac:dyDescent="0.3">
      <c r="B58" s="1"/>
      <c r="C58" s="1"/>
      <c r="D58" s="1"/>
      <c r="E58" s="39"/>
      <c r="F58" s="39"/>
      <c r="G58" s="3"/>
      <c r="H58" s="3"/>
      <c r="I58" s="3"/>
      <c r="J58" s="3"/>
      <c r="K58" s="1"/>
      <c r="M58" s="210"/>
      <c r="N58" s="210"/>
      <c r="O58" s="210"/>
      <c r="P58" s="210"/>
      <c r="Q58" s="210"/>
      <c r="R58" s="210"/>
      <c r="S58" s="210"/>
    </row>
    <row r="59" spans="2:28" s="207" customFormat="1" ht="19.649999999999999" customHeight="1" x14ac:dyDescent="0.3">
      <c r="B59" s="1"/>
      <c r="C59" s="1"/>
      <c r="D59" s="1"/>
      <c r="E59" s="39"/>
      <c r="F59" s="39"/>
      <c r="G59" s="3"/>
      <c r="H59" s="3"/>
      <c r="I59" s="3"/>
      <c r="J59" s="3"/>
      <c r="K59" s="1"/>
    </row>
    <row r="60" spans="2:28" s="207" customFormat="1" ht="19.649999999999999" customHeight="1" x14ac:dyDescent="0.3">
      <c r="B60" s="1"/>
      <c r="C60" s="1"/>
      <c r="D60" s="1"/>
      <c r="E60" s="39"/>
      <c r="F60" s="39"/>
      <c r="G60" s="3"/>
      <c r="H60" s="3"/>
      <c r="I60" s="3"/>
      <c r="J60" s="3"/>
      <c r="K60" s="1"/>
    </row>
    <row r="61" spans="2:28" s="188" customFormat="1" ht="19.649999999999999" customHeight="1" x14ac:dyDescent="0.3">
      <c r="B61" s="1"/>
      <c r="C61" s="1"/>
      <c r="D61" s="1"/>
      <c r="E61" s="39"/>
      <c r="F61" s="39"/>
      <c r="G61" s="3"/>
      <c r="H61" s="3"/>
      <c r="I61" s="3"/>
      <c r="J61" s="3"/>
      <c r="K61" s="1"/>
      <c r="M61" s="207"/>
      <c r="N61" s="207"/>
      <c r="O61" s="207"/>
      <c r="P61" s="207"/>
      <c r="Q61" s="207"/>
      <c r="R61" s="207"/>
      <c r="S61" s="207"/>
      <c r="T61" s="210"/>
      <c r="U61" s="210"/>
      <c r="V61" s="210"/>
      <c r="W61" s="210"/>
      <c r="X61" s="210"/>
      <c r="Y61" s="210"/>
      <c r="Z61" s="210"/>
      <c r="AA61" s="210"/>
      <c r="AB61" s="210"/>
    </row>
    <row r="62" spans="2:28" s="207" customFormat="1" ht="19.649999999999999" customHeight="1" x14ac:dyDescent="0.3">
      <c r="B62" s="1"/>
      <c r="C62" s="1"/>
      <c r="D62" s="1"/>
      <c r="E62" s="39"/>
      <c r="F62" s="39"/>
      <c r="G62" s="3"/>
      <c r="H62" s="3"/>
      <c r="I62" s="3"/>
      <c r="J62" s="3"/>
      <c r="K62" s="1"/>
    </row>
    <row r="63" spans="2:28" s="207" customFormat="1" ht="19.649999999999999" customHeight="1" x14ac:dyDescent="0.3">
      <c r="B63" s="1"/>
      <c r="C63" s="1"/>
      <c r="D63" s="1"/>
      <c r="E63" s="39"/>
      <c r="F63" s="39"/>
      <c r="G63" s="3"/>
      <c r="H63" s="3"/>
      <c r="I63" s="3"/>
      <c r="J63" s="3"/>
      <c r="K63" s="1"/>
    </row>
    <row r="64" spans="2:28" s="207" customFormat="1" ht="19.649999999999999" customHeight="1" x14ac:dyDescent="0.3">
      <c r="B64" s="1"/>
      <c r="C64" s="1"/>
      <c r="D64" s="1"/>
      <c r="E64" s="39"/>
      <c r="F64" s="39"/>
      <c r="G64" s="3"/>
      <c r="H64" s="3"/>
      <c r="I64" s="3"/>
      <c r="J64" s="3"/>
      <c r="K64" s="1"/>
    </row>
    <row r="65" spans="2:28" s="207" customFormat="1" ht="19.649999999999999" customHeight="1" x14ac:dyDescent="0.3">
      <c r="B65" s="1"/>
      <c r="C65" s="1"/>
      <c r="D65" s="1"/>
      <c r="E65" s="39"/>
      <c r="F65" s="39"/>
      <c r="G65" s="3"/>
      <c r="H65" s="3"/>
      <c r="I65" s="3"/>
      <c r="J65" s="3"/>
      <c r="K65" s="1"/>
    </row>
    <row r="66" spans="2:28" s="207" customFormat="1" ht="19.649999999999999" customHeight="1" x14ac:dyDescent="0.3">
      <c r="B66" s="1"/>
      <c r="C66" s="1"/>
      <c r="D66" s="1"/>
      <c r="E66" s="39"/>
      <c r="F66" s="39"/>
      <c r="G66" s="3"/>
      <c r="H66" s="3"/>
      <c r="I66" s="3"/>
      <c r="J66" s="3"/>
      <c r="K66" s="1"/>
    </row>
    <row r="67" spans="2:28" s="207" customFormat="1" ht="19.649999999999999" customHeight="1" x14ac:dyDescent="0.3">
      <c r="B67" s="1"/>
      <c r="C67" s="1"/>
      <c r="D67" s="1"/>
      <c r="E67" s="39"/>
      <c r="F67" s="39"/>
      <c r="G67" s="3"/>
      <c r="H67" s="3"/>
      <c r="I67" s="3"/>
      <c r="J67" s="3"/>
      <c r="K67" s="1"/>
      <c r="M67" s="210"/>
      <c r="N67" s="210"/>
      <c r="O67" s="210"/>
      <c r="P67" s="210"/>
      <c r="Q67" s="210"/>
      <c r="R67" s="210"/>
      <c r="S67" s="210"/>
    </row>
    <row r="68" spans="2:28" s="202" customFormat="1" ht="19.649999999999999" customHeight="1" x14ac:dyDescent="0.3">
      <c r="B68" s="1"/>
      <c r="C68" s="1"/>
      <c r="D68" s="1"/>
      <c r="E68" s="39"/>
      <c r="F68" s="39"/>
      <c r="G68" s="3"/>
      <c r="H68" s="3"/>
      <c r="I68" s="3"/>
      <c r="J68" s="3"/>
      <c r="K68" s="1"/>
      <c r="M68" s="210"/>
      <c r="N68" s="210"/>
      <c r="O68" s="210"/>
      <c r="P68" s="210"/>
      <c r="Q68" s="210"/>
      <c r="R68" s="210"/>
      <c r="S68" s="210"/>
      <c r="T68" s="207"/>
      <c r="U68" s="207"/>
      <c r="V68" s="207"/>
      <c r="W68" s="207"/>
      <c r="X68" s="207"/>
      <c r="Y68" s="207"/>
      <c r="Z68" s="207"/>
      <c r="AA68" s="207"/>
      <c r="AB68" s="207"/>
    </row>
    <row r="69" spans="2:28" s="202" customFormat="1" ht="19.649999999999999" customHeight="1" x14ac:dyDescent="0.3">
      <c r="B69" s="1"/>
      <c r="C69" s="1"/>
      <c r="D69" s="1"/>
      <c r="E69" s="39"/>
      <c r="F69" s="39"/>
      <c r="G69" s="3"/>
      <c r="H69" s="3"/>
      <c r="I69" s="3"/>
      <c r="J69" s="3"/>
      <c r="K69" s="1"/>
      <c r="M69" s="210"/>
      <c r="N69" s="210"/>
      <c r="O69" s="210"/>
      <c r="P69" s="210"/>
      <c r="Q69" s="210"/>
      <c r="R69" s="210"/>
      <c r="S69" s="210"/>
      <c r="T69" s="207"/>
      <c r="U69" s="207"/>
      <c r="V69" s="207"/>
      <c r="W69" s="207"/>
      <c r="X69" s="207"/>
      <c r="Y69" s="207"/>
      <c r="Z69" s="207"/>
      <c r="AA69" s="207"/>
      <c r="AB69" s="207"/>
    </row>
    <row r="70" spans="2:28" s="188" customFormat="1" ht="19.649999999999999" customHeight="1" x14ac:dyDescent="0.3">
      <c r="B70" s="1"/>
      <c r="C70" s="1"/>
      <c r="D70" s="1"/>
      <c r="E70" s="39"/>
      <c r="F70" s="39"/>
      <c r="G70" s="3"/>
      <c r="H70" s="3"/>
      <c r="I70" s="3"/>
      <c r="J70" s="3"/>
      <c r="K70" s="1"/>
      <c r="M70" s="220"/>
      <c r="N70" s="220"/>
      <c r="O70" s="220"/>
      <c r="P70" s="220"/>
      <c r="Q70" s="220"/>
      <c r="R70" s="220"/>
      <c r="S70" s="220"/>
      <c r="T70" s="210"/>
      <c r="U70" s="210"/>
      <c r="V70" s="210"/>
      <c r="W70" s="210"/>
      <c r="X70" s="210"/>
      <c r="Y70" s="210"/>
      <c r="Z70" s="210"/>
      <c r="AA70" s="210"/>
      <c r="AB70" s="210"/>
    </row>
    <row r="71" spans="2:28" s="188" customFormat="1" ht="19.649999999999999" customHeight="1" x14ac:dyDescent="0.3">
      <c r="B71" s="1"/>
      <c r="C71" s="1"/>
      <c r="D71" s="1"/>
      <c r="E71" s="39"/>
      <c r="F71" s="39"/>
      <c r="G71" s="3"/>
      <c r="H71" s="3"/>
      <c r="I71" s="3"/>
      <c r="J71" s="3"/>
      <c r="K71" s="1"/>
      <c r="M71" s="220"/>
      <c r="N71" s="220"/>
      <c r="O71" s="220"/>
      <c r="P71" s="220"/>
      <c r="Q71" s="220"/>
      <c r="R71" s="220"/>
      <c r="S71" s="220"/>
      <c r="T71" s="210"/>
      <c r="U71" s="210"/>
      <c r="V71" s="210"/>
      <c r="W71" s="210"/>
      <c r="X71" s="210"/>
      <c r="Y71" s="210"/>
      <c r="Z71" s="210"/>
      <c r="AA71" s="210"/>
      <c r="AB71" s="210"/>
    </row>
    <row r="72" spans="2:28" s="188" customFormat="1" ht="19.649999999999999" customHeight="1" x14ac:dyDescent="0.3">
      <c r="B72" s="1"/>
      <c r="C72" s="1"/>
      <c r="D72" s="1"/>
      <c r="E72" s="39"/>
      <c r="F72" s="39"/>
      <c r="G72" s="3"/>
      <c r="H72" s="3"/>
      <c r="I72" s="3"/>
      <c r="J72" s="3"/>
      <c r="K72" s="1"/>
      <c r="M72" s="220"/>
      <c r="N72" s="220"/>
      <c r="O72" s="220"/>
      <c r="P72" s="220"/>
      <c r="Q72" s="220"/>
      <c r="R72" s="220"/>
      <c r="S72" s="220"/>
      <c r="T72" s="210"/>
      <c r="U72" s="210"/>
      <c r="V72" s="210"/>
      <c r="W72" s="210"/>
      <c r="X72" s="210"/>
      <c r="Y72" s="210"/>
      <c r="Z72" s="210"/>
      <c r="AA72" s="210"/>
      <c r="AB72" s="210"/>
    </row>
    <row r="73" spans="2:28" s="187" customFormat="1" ht="19.649999999999999" customHeight="1" x14ac:dyDescent="0.3">
      <c r="B73" s="1"/>
      <c r="C73" s="1"/>
      <c r="D73" s="1"/>
      <c r="E73" s="39"/>
      <c r="F73" s="39"/>
      <c r="G73" s="3"/>
      <c r="H73" s="3"/>
      <c r="I73" s="3"/>
      <c r="J73" s="3"/>
      <c r="K73" s="1"/>
      <c r="M73" s="220"/>
      <c r="N73" s="220"/>
      <c r="O73" s="220"/>
      <c r="P73" s="220"/>
      <c r="Q73" s="220"/>
      <c r="R73" s="220"/>
      <c r="S73" s="220"/>
      <c r="T73" s="220"/>
      <c r="U73" s="220"/>
      <c r="V73" s="220"/>
      <c r="W73" s="220"/>
      <c r="X73" s="220"/>
      <c r="Y73" s="220"/>
      <c r="Z73" s="220"/>
      <c r="AA73" s="220"/>
      <c r="AB73" s="220"/>
    </row>
    <row r="74" spans="2:28" s="187" customFormat="1" ht="19.649999999999999" customHeight="1" x14ac:dyDescent="0.3">
      <c r="B74" s="1"/>
      <c r="C74" s="1"/>
      <c r="D74" s="1"/>
      <c r="E74" s="39"/>
      <c r="F74" s="39"/>
      <c r="G74" s="3"/>
      <c r="H74" s="3"/>
      <c r="I74" s="3"/>
      <c r="J74" s="3"/>
      <c r="K74" s="1"/>
      <c r="M74" s="220"/>
      <c r="N74" s="220"/>
      <c r="O74" s="220"/>
      <c r="P74" s="220"/>
      <c r="Q74" s="220"/>
      <c r="R74" s="220"/>
      <c r="S74" s="220"/>
      <c r="T74" s="220"/>
      <c r="U74" s="220"/>
      <c r="V74" s="220"/>
      <c r="W74" s="220"/>
      <c r="X74" s="220"/>
      <c r="Y74" s="220"/>
      <c r="Z74" s="220"/>
      <c r="AA74" s="220"/>
      <c r="AB74" s="220"/>
    </row>
    <row r="75" spans="2:28" s="187" customFormat="1" ht="19.649999999999999" customHeight="1" x14ac:dyDescent="0.3">
      <c r="B75" s="1"/>
      <c r="C75" s="1"/>
      <c r="D75" s="1"/>
      <c r="E75" s="39"/>
      <c r="F75" s="39"/>
      <c r="G75" s="3"/>
      <c r="H75" s="3"/>
      <c r="I75" s="3"/>
      <c r="J75" s="3"/>
      <c r="K75" s="1"/>
      <c r="M75" s="220"/>
      <c r="N75" s="220"/>
      <c r="O75" s="220"/>
      <c r="P75" s="220"/>
      <c r="Q75" s="220"/>
      <c r="R75" s="220"/>
      <c r="S75" s="220"/>
      <c r="T75" s="220"/>
      <c r="U75" s="220"/>
      <c r="V75" s="220"/>
      <c r="W75" s="220"/>
      <c r="X75" s="220"/>
      <c r="Y75" s="220"/>
      <c r="Z75" s="220"/>
      <c r="AA75" s="220"/>
      <c r="AB75" s="220"/>
    </row>
    <row r="76" spans="2:28" s="187" customFormat="1" ht="19.649999999999999" customHeight="1" x14ac:dyDescent="0.3">
      <c r="B76" s="1"/>
      <c r="C76" s="1"/>
      <c r="D76" s="1"/>
      <c r="E76" s="138"/>
      <c r="F76" s="138"/>
      <c r="G76" s="3"/>
      <c r="H76" s="3"/>
      <c r="I76" s="3"/>
      <c r="J76" s="3"/>
      <c r="K76" s="1"/>
      <c r="M76" s="220"/>
      <c r="N76" s="220"/>
      <c r="O76" s="220"/>
      <c r="P76" s="220"/>
      <c r="Q76" s="220"/>
      <c r="R76" s="220"/>
      <c r="S76" s="220"/>
      <c r="T76" s="220"/>
      <c r="U76" s="220"/>
      <c r="V76" s="220"/>
      <c r="W76" s="220"/>
      <c r="X76" s="220"/>
      <c r="Y76" s="220"/>
      <c r="Z76" s="220"/>
      <c r="AA76" s="220"/>
      <c r="AB76" s="220"/>
    </row>
    <row r="77" spans="2:28" s="187" customFormat="1" ht="19.649999999999999" customHeight="1" x14ac:dyDescent="0.3">
      <c r="B77" s="1"/>
      <c r="C77" s="1"/>
      <c r="D77" s="1"/>
      <c r="E77" s="138"/>
      <c r="F77" s="138"/>
      <c r="G77" s="3"/>
      <c r="H77" s="3"/>
      <c r="I77" s="3"/>
      <c r="J77" s="3"/>
      <c r="K77" s="1"/>
      <c r="M77" s="220"/>
      <c r="N77" s="220"/>
      <c r="O77" s="220"/>
      <c r="P77" s="220"/>
      <c r="Q77" s="220"/>
      <c r="R77" s="220"/>
      <c r="S77" s="220"/>
      <c r="T77" s="220"/>
      <c r="U77" s="220"/>
      <c r="V77" s="220"/>
      <c r="W77" s="220"/>
      <c r="X77" s="220"/>
      <c r="Y77" s="220"/>
      <c r="Z77" s="220"/>
      <c r="AA77" s="220"/>
      <c r="AB77" s="220"/>
    </row>
    <row r="78" spans="2:28" s="187" customFormat="1" ht="19.649999999999999" customHeight="1" x14ac:dyDescent="0.3">
      <c r="B78" s="1"/>
      <c r="C78" s="1"/>
      <c r="D78" s="1"/>
      <c r="E78" s="138"/>
      <c r="F78" s="138"/>
      <c r="G78" s="3"/>
      <c r="H78" s="3"/>
      <c r="I78" s="3"/>
      <c r="J78" s="3"/>
      <c r="K78" s="1"/>
      <c r="M78" s="3"/>
      <c r="N78" s="3"/>
      <c r="O78" s="3"/>
      <c r="P78" s="3"/>
      <c r="Q78" s="3"/>
      <c r="R78" s="3"/>
      <c r="S78" s="3"/>
      <c r="T78" s="220"/>
      <c r="U78" s="220"/>
      <c r="V78" s="220"/>
      <c r="W78" s="220"/>
      <c r="X78" s="220"/>
      <c r="Y78" s="220"/>
      <c r="Z78" s="220"/>
      <c r="AA78" s="220"/>
      <c r="AB78" s="220"/>
    </row>
    <row r="79" spans="2:28" s="187" customFormat="1" ht="19.649999999999999" customHeight="1" x14ac:dyDescent="0.3">
      <c r="B79" s="1"/>
      <c r="C79" s="1"/>
      <c r="D79" s="1"/>
      <c r="E79" s="138"/>
      <c r="F79" s="138"/>
      <c r="G79" s="3"/>
      <c r="H79" s="3"/>
      <c r="I79" s="3"/>
      <c r="J79" s="3"/>
      <c r="K79" s="1"/>
      <c r="M79" s="3"/>
      <c r="N79" s="3"/>
      <c r="O79" s="3"/>
      <c r="P79" s="3"/>
      <c r="Q79" s="3"/>
      <c r="R79" s="3"/>
      <c r="S79" s="3"/>
      <c r="T79" s="220"/>
      <c r="U79" s="220"/>
      <c r="V79" s="220"/>
      <c r="W79" s="220"/>
      <c r="X79" s="220"/>
      <c r="Y79" s="220"/>
      <c r="Z79" s="220"/>
      <c r="AA79" s="220"/>
      <c r="AB79" s="220"/>
    </row>
    <row r="80" spans="2:28" s="187" customFormat="1" ht="19.649999999999999" customHeight="1" x14ac:dyDescent="0.3">
      <c r="B80" s="1"/>
      <c r="C80" s="1"/>
      <c r="D80" s="1"/>
      <c r="E80" s="39"/>
      <c r="F80" s="39"/>
      <c r="G80" s="3"/>
      <c r="H80" s="3"/>
      <c r="I80" s="3"/>
      <c r="J80" s="3"/>
      <c r="K80" s="1"/>
      <c r="M80" s="3"/>
      <c r="N80" s="3"/>
      <c r="O80" s="3"/>
      <c r="P80" s="3"/>
      <c r="Q80" s="3"/>
      <c r="R80" s="3"/>
      <c r="S80" s="3"/>
      <c r="T80" s="220"/>
      <c r="U80" s="220"/>
      <c r="V80" s="220"/>
      <c r="W80" s="220"/>
      <c r="X80" s="220"/>
      <c r="Y80" s="220"/>
      <c r="Z80" s="220"/>
      <c r="AA80" s="220"/>
      <c r="AB80" s="220"/>
    </row>
    <row r="164" spans="1:30" s="3" customFormat="1" x14ac:dyDescent="0.3">
      <c r="A164" s="1"/>
      <c r="B164" s="1"/>
      <c r="C164" s="1"/>
      <c r="D164" s="1"/>
      <c r="E164" s="138"/>
      <c r="F164" s="138"/>
      <c r="K164" s="1"/>
      <c r="L164" s="1"/>
      <c r="AC164" s="1"/>
      <c r="AD164" s="1"/>
    </row>
  </sheetData>
  <mergeCells count="4">
    <mergeCell ref="B1:C1"/>
    <mergeCell ref="B47:B48"/>
    <mergeCell ref="C47:C48"/>
    <mergeCell ref="D47:E47"/>
  </mergeCell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I79"/>
  <sheetViews>
    <sheetView showGridLines="0" zoomScale="85" zoomScaleNormal="85" workbookViewId="0">
      <selection activeCell="T7" sqref="T7"/>
    </sheetView>
  </sheetViews>
  <sheetFormatPr defaultColWidth="9.109375" defaultRowHeight="13.8" x14ac:dyDescent="0.3"/>
  <cols>
    <col min="1" max="1" width="0.44140625" style="261" customWidth="1"/>
    <col min="2" max="2" width="4.6640625" style="261" bestFit="1" customWidth="1"/>
    <col min="3" max="3" width="22.5546875" style="552" customWidth="1"/>
    <col min="4" max="4" width="12.33203125" style="261" customWidth="1"/>
    <col min="5" max="5" width="11.44140625" style="260" bestFit="1" customWidth="1"/>
    <col min="6" max="6" width="11.6640625" style="261" customWidth="1"/>
    <col min="7" max="7" width="10.33203125" style="261" bestFit="1" customWidth="1"/>
    <col min="8" max="8" width="11.6640625" style="261" bestFit="1" customWidth="1"/>
    <col min="9" max="11" width="10.33203125" style="261" bestFit="1" customWidth="1"/>
    <col min="12" max="12" width="11.6640625" style="261" bestFit="1" customWidth="1"/>
    <col min="13" max="13" width="9.33203125" style="261" bestFit="1" customWidth="1"/>
    <col min="14" max="14" width="12.6640625" style="261" bestFit="1" customWidth="1"/>
    <col min="15" max="15" width="4.109375" style="261" customWidth="1"/>
    <col min="16" max="16" width="11.6640625" style="619" bestFit="1" customWidth="1"/>
    <col min="17" max="17" width="13.6640625" style="623" customWidth="1"/>
    <col min="18" max="18" width="11.6640625" style="623" bestFit="1" customWidth="1"/>
    <col min="19" max="19" width="3.5546875" style="623" customWidth="1"/>
    <col min="20" max="20" width="11.6640625" style="623" bestFit="1" customWidth="1"/>
    <col min="21" max="21" width="9.109375" style="261" customWidth="1"/>
    <col min="22" max="24" width="10" style="261" customWidth="1"/>
    <col min="25" max="25" width="9.33203125" style="261" customWidth="1"/>
    <col min="26" max="26" width="10.33203125" style="261" customWidth="1"/>
    <col min="27" max="27" width="9.109375" style="261" customWidth="1"/>
    <col min="28" max="28" width="12" style="261" customWidth="1"/>
    <col min="29" max="30" width="10" style="261" customWidth="1"/>
    <col min="31" max="31" width="9.33203125" style="261" customWidth="1"/>
    <col min="32" max="32" width="10.33203125" style="261" customWidth="1"/>
    <col min="33" max="33" width="11" style="261" bestFit="1" customWidth="1"/>
    <col min="34" max="34" width="9.109375" style="261"/>
    <col min="35" max="35" width="12.88671875" style="261" customWidth="1"/>
    <col min="36" max="16384" width="9.109375" style="261"/>
  </cols>
  <sheetData>
    <row r="1" spans="2:35" x14ac:dyDescent="0.3">
      <c r="C1" s="261"/>
    </row>
    <row r="2" spans="2:35" ht="20.100000000000001" customHeight="1" x14ac:dyDescent="0.3">
      <c r="C2" s="261"/>
    </row>
    <row r="3" spans="2:35" ht="20.100000000000001" customHeight="1" x14ac:dyDescent="0.3">
      <c r="B3" s="841" t="s">
        <v>456</v>
      </c>
      <c r="C3" s="841"/>
      <c r="D3" s="520"/>
      <c r="E3" s="89"/>
      <c r="F3" s="89"/>
      <c r="G3" s="89"/>
      <c r="H3" s="89"/>
    </row>
    <row r="4" spans="2:35" ht="20.100000000000001" customHeight="1" x14ac:dyDescent="0.3">
      <c r="B4" s="842" t="s">
        <v>0</v>
      </c>
      <c r="C4" s="842" t="s">
        <v>457</v>
      </c>
      <c r="D4" s="521" t="s">
        <v>458</v>
      </c>
      <c r="E4" s="521" t="s">
        <v>459</v>
      </c>
      <c r="F4" s="521" t="s">
        <v>460</v>
      </c>
      <c r="G4" s="522" t="s">
        <v>60</v>
      </c>
      <c r="H4" s="522" t="s">
        <v>61</v>
      </c>
      <c r="I4" s="522" t="s">
        <v>461</v>
      </c>
      <c r="J4" s="522" t="s">
        <v>462</v>
      </c>
      <c r="K4" s="522" t="s">
        <v>463</v>
      </c>
      <c r="L4" s="522" t="s">
        <v>464</v>
      </c>
      <c r="M4" s="522" t="s">
        <v>465</v>
      </c>
      <c r="N4" s="842" t="s">
        <v>171</v>
      </c>
      <c r="P4" s="624" t="s">
        <v>13</v>
      </c>
      <c r="Q4" s="544"/>
      <c r="R4" s="544"/>
      <c r="S4" s="544"/>
      <c r="T4" s="544"/>
      <c r="V4" s="843"/>
      <c r="W4" s="843"/>
      <c r="X4" s="843"/>
      <c r="Y4" s="843"/>
      <c r="Z4" s="843"/>
      <c r="AB4" s="843"/>
      <c r="AC4" s="843"/>
      <c r="AD4" s="843"/>
      <c r="AE4" s="843"/>
      <c r="AF4" s="843"/>
    </row>
    <row r="5" spans="2:35" ht="20.100000000000001" customHeight="1" x14ac:dyDescent="0.3">
      <c r="B5" s="842"/>
      <c r="C5" s="842"/>
      <c r="D5" s="521" t="s">
        <v>65</v>
      </c>
      <c r="E5" s="521" t="s">
        <v>65</v>
      </c>
      <c r="F5" s="521" t="s">
        <v>103</v>
      </c>
      <c r="G5" s="522" t="s">
        <v>116</v>
      </c>
      <c r="H5" s="522" t="s">
        <v>116</v>
      </c>
      <c r="I5" s="522" t="s">
        <v>116</v>
      </c>
      <c r="J5" s="522" t="s">
        <v>116</v>
      </c>
      <c r="K5" s="522" t="s">
        <v>116</v>
      </c>
      <c r="L5" s="522" t="s">
        <v>116</v>
      </c>
      <c r="M5" s="522" t="s">
        <v>116</v>
      </c>
      <c r="N5" s="842"/>
      <c r="P5" s="624" t="s">
        <v>67</v>
      </c>
      <c r="Q5" s="622"/>
      <c r="R5" s="622"/>
      <c r="S5" s="622"/>
      <c r="T5" s="622"/>
      <c r="U5" s="89"/>
      <c r="V5" s="544"/>
      <c r="W5" s="544"/>
      <c r="X5" s="544"/>
      <c r="Y5" s="544"/>
      <c r="Z5" s="544"/>
      <c r="AB5" s="544"/>
      <c r="AC5" s="544"/>
      <c r="AD5" s="544"/>
      <c r="AE5" s="544"/>
      <c r="AF5" s="544"/>
    </row>
    <row r="6" spans="2:35" ht="20.100000000000001" customHeight="1" x14ac:dyDescent="0.3">
      <c r="B6" s="524"/>
      <c r="C6" s="525" t="s">
        <v>469</v>
      </c>
      <c r="D6" s="526"/>
      <c r="E6" s="526"/>
      <c r="F6" s="526"/>
      <c r="G6" s="524"/>
      <c r="H6" s="524"/>
      <c r="I6" s="524"/>
      <c r="J6" s="524"/>
      <c r="K6" s="524"/>
      <c r="L6" s="524"/>
      <c r="M6" s="524"/>
      <c r="N6" s="527"/>
      <c r="P6" s="618" t="s">
        <v>466</v>
      </c>
      <c r="Q6" s="618" t="s">
        <v>508</v>
      </c>
      <c r="R6" s="618" t="s">
        <v>467</v>
      </c>
      <c r="AH6" s="543"/>
      <c r="AI6" s="543"/>
    </row>
    <row r="7" spans="2:35" ht="20.100000000000001" customHeight="1" x14ac:dyDescent="0.3">
      <c r="B7" s="527">
        <v>1</v>
      </c>
      <c r="C7" s="530" t="s">
        <v>468</v>
      </c>
      <c r="D7" s="531">
        <f>+'[9]Basement Floor - Beam'!I1351</f>
        <v>7860</v>
      </c>
      <c r="E7" s="531"/>
      <c r="F7" s="531">
        <f>+'[9]Basement Floor - Beam'!J1351</f>
        <v>21638.525550549995</v>
      </c>
      <c r="G7" s="532">
        <f>+'[9]Basement Floor - Beam'!T1351</f>
        <v>5499.5199999999986</v>
      </c>
      <c r="H7" s="532">
        <f>+'[9]Basement Floor - Beam'!U1351</f>
        <v>7195.3827160493875</v>
      </c>
      <c r="I7" s="532">
        <f>+'[9]Basement Floor - Beam'!V1351</f>
        <v>3769.6533333333346</v>
      </c>
      <c r="J7" s="532">
        <f>+'[9]Basement Floor - Beam'!W1351</f>
        <v>12530.063802469143</v>
      </c>
      <c r="K7" s="532">
        <f>+'[9]Basement Floor - Beam'!X1351</f>
        <v>10026.106172839503</v>
      </c>
      <c r="L7" s="532">
        <f>+'[9]Basement Floor - Beam'!Y1351*0.6</f>
        <v>26420.77083333331</v>
      </c>
      <c r="M7" s="532">
        <f>+'[9]Basement Floor - Beam'!Z1351</f>
        <v>694.42370370370361</v>
      </c>
      <c r="N7" s="523">
        <f>+SUM(G7:M7)</f>
        <v>66135.920561728388</v>
      </c>
      <c r="O7" s="533"/>
      <c r="P7" s="618"/>
      <c r="Q7" s="618">
        <f>1632*10.762</f>
        <v>17563.584000000003</v>
      </c>
      <c r="R7" s="625"/>
      <c r="T7" s="623">
        <f>SUM(Q7:Q11,R7:R11)</f>
        <v>21531.584000000003</v>
      </c>
      <c r="X7" s="533"/>
      <c r="AD7" s="533"/>
      <c r="AH7" s="621"/>
      <c r="AI7" s="621"/>
    </row>
    <row r="8" spans="2:35" ht="20.100000000000001" customHeight="1" x14ac:dyDescent="0.3">
      <c r="B8" s="527">
        <f>+B7+1</f>
        <v>2</v>
      </c>
      <c r="C8" s="530" t="s">
        <v>466</v>
      </c>
      <c r="D8" s="531">
        <f>+'[9]Basement floor - Slab '!H713</f>
        <v>19216.441476232874</v>
      </c>
      <c r="E8" s="531"/>
      <c r="F8" s="531">
        <f>+'[9]Basement floor - Slab '!S713</f>
        <v>39047.765548193987</v>
      </c>
      <c r="G8" s="528">
        <f>+'[9]Basement floor - Slab '!P714</f>
        <v>5435.7807407407363</v>
      </c>
      <c r="H8" s="528">
        <f>+'[9]Basement floor - Slab '!Q714</f>
        <v>27533.707407407423</v>
      </c>
      <c r="I8" s="528">
        <f>+'[9]Basement floor - Slab '!R714</f>
        <v>1305.2371111111111</v>
      </c>
      <c r="J8" s="528"/>
      <c r="K8" s="528"/>
      <c r="L8" s="528"/>
      <c r="M8" s="528"/>
      <c r="N8" s="523">
        <f>+SUM(G8:M8)</f>
        <v>34274.72525925927</v>
      </c>
      <c r="O8" s="533"/>
      <c r="P8" s="618">
        <f t="shared" ref="P8:P32" si="0">+F8</f>
        <v>39047.765548193987</v>
      </c>
      <c r="Q8" s="625"/>
      <c r="R8" s="625"/>
      <c r="V8" s="533"/>
      <c r="AB8" s="533"/>
      <c r="AH8" s="621"/>
      <c r="AI8" s="621"/>
    </row>
    <row r="9" spans="2:35" ht="20.100000000000001" customHeight="1" x14ac:dyDescent="0.3">
      <c r="B9" s="527">
        <f t="shared" ref="B9:B11" si="1">+B8+1</f>
        <v>3</v>
      </c>
      <c r="C9" s="529" t="s">
        <v>467</v>
      </c>
      <c r="D9" s="535"/>
      <c r="E9" s="535"/>
      <c r="F9" s="528"/>
      <c r="G9" s="528"/>
      <c r="H9" s="528"/>
      <c r="I9" s="528"/>
      <c r="J9" s="528"/>
      <c r="K9" s="528"/>
      <c r="L9" s="528"/>
      <c r="M9" s="528"/>
      <c r="N9" s="523">
        <f>+SUM(G9:M9)</f>
        <v>0</v>
      </c>
      <c r="O9" s="533"/>
      <c r="P9" s="618">
        <f t="shared" si="0"/>
        <v>0</v>
      </c>
      <c r="Q9" s="625"/>
      <c r="R9" s="618">
        <v>3968</v>
      </c>
      <c r="U9" s="28"/>
      <c r="W9" s="533"/>
      <c r="AC9" s="533"/>
      <c r="AH9" s="621"/>
      <c r="AI9" s="621"/>
    </row>
    <row r="10" spans="2:35" ht="20.100000000000001" customHeight="1" x14ac:dyDescent="0.3">
      <c r="B10" s="527">
        <f t="shared" si="1"/>
        <v>4</v>
      </c>
      <c r="C10" s="529" t="s">
        <v>367</v>
      </c>
      <c r="D10" s="528">
        <f>+'[9]Staircase slab rev1'!G29+'[9]Staircase slab rev1'!G94+'[9]Staircase slab rev1'!G160</f>
        <v>322.37779005162497</v>
      </c>
      <c r="E10" s="528"/>
      <c r="F10" s="528">
        <f>+'[9]Staircase slab rev1'!R31+'[9]Staircase slab rev1'!R96+'[9]Staircase slab rev1'!R162</f>
        <v>742.91346557999987</v>
      </c>
      <c r="G10" s="528">
        <f>+'[9]Staircase slab rev1'!N31+'[9]Staircase slab rev1'!N96+'[9]Staircase slab rev1'!N162</f>
        <v>115.07160493827158</v>
      </c>
      <c r="H10" s="528">
        <f>+'[9]Staircase slab rev1'!O31+'[9]Staircase slab rev1'!O96+'[9]Staircase slab rev1'!O162</f>
        <v>805.48148148148141</v>
      </c>
      <c r="I10" s="528">
        <f>+'[9]Staircase slab rev1'!P31+'[9]Staircase slab rev1'!P96+'[9]Staircase slab rev1'!P162</f>
        <v>0</v>
      </c>
      <c r="J10" s="528"/>
      <c r="K10" s="528"/>
      <c r="L10" s="528"/>
      <c r="M10" s="528"/>
      <c r="N10" s="523">
        <f>+SUM(G10:M10)</f>
        <v>920.55308641975296</v>
      </c>
      <c r="O10" s="533"/>
      <c r="P10" s="618"/>
      <c r="Q10" s="625"/>
      <c r="R10" s="625"/>
      <c r="Y10" s="533"/>
      <c r="AE10" s="533"/>
      <c r="AH10" s="621"/>
      <c r="AI10" s="621"/>
    </row>
    <row r="11" spans="2:35" ht="20.100000000000001" customHeight="1" x14ac:dyDescent="0.3">
      <c r="B11" s="527">
        <f t="shared" si="1"/>
        <v>5</v>
      </c>
      <c r="C11" s="529" t="s">
        <v>470</v>
      </c>
      <c r="D11" s="529"/>
      <c r="E11" s="528"/>
      <c r="F11" s="528"/>
      <c r="G11" s="528"/>
      <c r="H11" s="528"/>
      <c r="I11" s="528"/>
      <c r="J11" s="528"/>
      <c r="K11" s="528"/>
      <c r="L11" s="528"/>
      <c r="M11" s="528"/>
      <c r="N11" s="523">
        <f>+SUM(G11:M11)</f>
        <v>0</v>
      </c>
      <c r="O11" s="533"/>
      <c r="P11" s="618">
        <f t="shared" si="0"/>
        <v>0</v>
      </c>
      <c r="Q11" s="625"/>
      <c r="R11" s="625"/>
      <c r="Z11" s="533"/>
      <c r="AF11" s="533"/>
      <c r="AH11" s="621"/>
      <c r="AI11" s="621"/>
    </row>
    <row r="12" spans="2:35" ht="20.100000000000001" customHeight="1" x14ac:dyDescent="0.3">
      <c r="B12" s="524"/>
      <c r="C12" s="525" t="s">
        <v>471</v>
      </c>
      <c r="D12" s="526"/>
      <c r="E12" s="526"/>
      <c r="F12" s="526"/>
      <c r="G12" s="524"/>
      <c r="H12" s="524"/>
      <c r="I12" s="524"/>
      <c r="J12" s="524"/>
      <c r="K12" s="524"/>
      <c r="L12" s="524"/>
      <c r="M12" s="524"/>
      <c r="N12" s="527"/>
      <c r="P12" s="618">
        <f t="shared" si="0"/>
        <v>0</v>
      </c>
      <c r="Q12" s="625"/>
      <c r="R12" s="625"/>
      <c r="AH12" s="621"/>
      <c r="AI12" s="621"/>
    </row>
    <row r="13" spans="2:35" ht="20.100000000000001" customHeight="1" x14ac:dyDescent="0.3">
      <c r="B13" s="527">
        <f>+B11+1</f>
        <v>6</v>
      </c>
      <c r="C13" s="530" t="s">
        <v>468</v>
      </c>
      <c r="D13" s="531">
        <f>+'[9]Ground  Floor - Beam'!I1443</f>
        <v>8191</v>
      </c>
      <c r="E13" s="531"/>
      <c r="F13" s="531">
        <f>+'[9]Ground  Floor - Beam'!J1443</f>
        <v>22740.78260694</v>
      </c>
      <c r="G13" s="532">
        <f>+'[9]Ground  Floor - Beam'!T1443</f>
        <v>5614.1906172839481</v>
      </c>
      <c r="H13" s="532">
        <f>+'[9]Ground  Floor - Beam'!U1443</f>
        <v>7702.938271604944</v>
      </c>
      <c r="I13" s="532">
        <f>+'[9]Ground  Floor - Beam'!V1443</f>
        <v>2931.9022222222216</v>
      </c>
      <c r="J13" s="532">
        <f>+'[9]Ground  Floor - Beam'!W1443</f>
        <v>12937.693234567903</v>
      </c>
      <c r="K13" s="532">
        <f>+'[9]Ground  Floor - Beam'!X1443</f>
        <v>12591.696296296303</v>
      </c>
      <c r="L13" s="532">
        <f>+'[9]Ground  Floor - Beam'!Y1443*0.6</f>
        <v>28050.043981481467</v>
      </c>
      <c r="M13" s="532">
        <f>+'[9]Ground  Floor - Beam'!Z1443</f>
        <v>1096.0592592592591</v>
      </c>
      <c r="N13" s="523">
        <f>+SUM(G13:M13)</f>
        <v>70924.52388271605</v>
      </c>
      <c r="O13" s="533"/>
      <c r="Q13" s="618">
        <f>1730.86*10.762</f>
        <v>18627.515319999999</v>
      </c>
      <c r="R13" s="625"/>
      <c r="T13" s="623">
        <f>SUM(Q13:Q17,R13:R17)</f>
        <v>22596.416481402011</v>
      </c>
      <c r="X13" s="533"/>
      <c r="AD13" s="533"/>
      <c r="AH13" s="621"/>
      <c r="AI13" s="621"/>
    </row>
    <row r="14" spans="2:35" ht="20.100000000000001" customHeight="1" x14ac:dyDescent="0.3">
      <c r="B14" s="527">
        <f>+B13+1</f>
        <v>7</v>
      </c>
      <c r="C14" s="530" t="s">
        <v>466</v>
      </c>
      <c r="D14" s="531">
        <f>+'[9]Ground floor - Slab'!H618</f>
        <v>16324.081186460246</v>
      </c>
      <c r="E14" s="531"/>
      <c r="F14" s="531">
        <f>+'[9]Ground floor - Slab'!S618</f>
        <v>33170.495991515993</v>
      </c>
      <c r="G14" s="528">
        <f>+'[9]Ground floor - Slab'!P619</f>
        <v>4475.5049876543189</v>
      </c>
      <c r="H14" s="528">
        <f>+'[9]Ground floor - Slab'!Q619</f>
        <v>23660.86851851852</v>
      </c>
      <c r="I14" s="528">
        <f>+'[9]Ground floor - Slab'!R619</f>
        <v>1854.9704444444444</v>
      </c>
      <c r="J14" s="528"/>
      <c r="K14" s="528"/>
      <c r="L14" s="528"/>
      <c r="M14" s="528"/>
      <c r="N14" s="523">
        <f>+SUM(G14:M14)</f>
        <v>29991.343950617284</v>
      </c>
      <c r="O14" s="533"/>
      <c r="P14" s="618">
        <f t="shared" si="0"/>
        <v>33170.495991515993</v>
      </c>
      <c r="Q14" s="625"/>
      <c r="R14" s="625"/>
      <c r="V14" s="533"/>
      <c r="AB14" s="533"/>
      <c r="AH14" s="621"/>
      <c r="AI14" s="621"/>
    </row>
    <row r="15" spans="2:35" ht="20.100000000000001" customHeight="1" x14ac:dyDescent="0.3">
      <c r="B15" s="527">
        <f>+B14+1</f>
        <v>8</v>
      </c>
      <c r="C15" s="529" t="s">
        <v>467</v>
      </c>
      <c r="D15" s="534">
        <f>+'[9]Column - GRF to 3rd floor rev1'!I76</f>
        <v>4164.062644775222</v>
      </c>
      <c r="E15" s="534"/>
      <c r="F15" s="528">
        <f>+'[9]Column - GRF to 3rd floor rev1'!J76</f>
        <v>7937.802322804022</v>
      </c>
      <c r="G15" s="528">
        <f>+'[9]Column - GRF to 3rd floor rev1'!Q75</f>
        <v>5155.0874534397453</v>
      </c>
      <c r="H15" s="528">
        <f>+'[9]Column - GRF to 3rd floor rev1'!R75</f>
        <v>0</v>
      </c>
      <c r="I15" s="528">
        <f>+'[9]Column - GRF to 3rd floor rev1'!S75</f>
        <v>0</v>
      </c>
      <c r="J15" s="528">
        <f>+'[9]Column - GRF to 3rd floor rev1'!T75</f>
        <v>887.80419700407515</v>
      </c>
      <c r="K15" s="528">
        <f>+'[9]Column - GRF to 3rd floor rev1'!U75</f>
        <v>9077.4191849067392</v>
      </c>
      <c r="L15" s="528">
        <f>+'[9]Column - GRF to 3rd floor rev1'!V75</f>
        <v>15922.641725083817</v>
      </c>
      <c r="M15" s="528">
        <f>+'[9]Column - GRF to 3rd floor rev1'!W75</f>
        <v>0</v>
      </c>
      <c r="N15" s="523">
        <f>+SUM(G15:M15)</f>
        <v>31042.952560434376</v>
      </c>
      <c r="O15" s="533"/>
      <c r="Q15" s="625"/>
      <c r="R15" s="618">
        <f>+F15*0.5</f>
        <v>3968.901161402011</v>
      </c>
      <c r="U15" s="28"/>
      <c r="W15" s="533"/>
      <c r="AC15" s="533"/>
      <c r="AH15" s="621"/>
      <c r="AI15" s="621"/>
    </row>
    <row r="16" spans="2:35" ht="20.100000000000001" customHeight="1" x14ac:dyDescent="0.3">
      <c r="B16" s="527">
        <f>+B15+1</f>
        <v>9</v>
      </c>
      <c r="C16" s="529" t="s">
        <v>367</v>
      </c>
      <c r="D16" s="528">
        <f>+'[9]Staircase slab rev1'!G60+'[9]Staircase slab rev1'!G125+'[9]Staircase slab rev1'!G191</f>
        <v>305.692748612125</v>
      </c>
      <c r="E16" s="528"/>
      <c r="F16" s="528">
        <f>+'[9]Staircase slab rev1'!R62+'[9]Staircase slab rev1'!R127+'[9]Staircase slab rev1'!R193</f>
        <v>712.2085635599999</v>
      </c>
      <c r="G16" s="528">
        <f>+'[9]Staircase slab rev1'!N62+'[9]Staircase slab rev1'!N127+'[9]Staircase slab rev1'!N193</f>
        <v>176.37728395061728</v>
      </c>
      <c r="H16" s="528">
        <f>+'[9]Staircase slab rev1'!O62+'[9]Staircase slab rev1'!O127+'[9]Staircase slab rev1'!O193</f>
        <v>810.31790123456778</v>
      </c>
      <c r="I16" s="528">
        <f>+'[9]Staircase slab rev1'!P62+'[9]Staircase slab rev1'!P127+'[9]Staircase slab rev1'!P193</f>
        <v>0</v>
      </c>
      <c r="J16" s="528"/>
      <c r="K16" s="528"/>
      <c r="L16" s="528"/>
      <c r="M16" s="528"/>
      <c r="N16" s="523">
        <f>+SUM(G16:M16)</f>
        <v>986.6951851851851</v>
      </c>
      <c r="O16" s="533"/>
      <c r="P16" s="618"/>
      <c r="Q16" s="625"/>
      <c r="R16" s="625"/>
      <c r="Y16" s="533"/>
      <c r="AE16" s="533"/>
      <c r="AH16" s="621"/>
      <c r="AI16" s="621"/>
    </row>
    <row r="17" spans="2:35" ht="20.100000000000001" customHeight="1" x14ac:dyDescent="0.3">
      <c r="B17" s="527">
        <f>+B16+1</f>
        <v>10</v>
      </c>
      <c r="C17" s="529" t="s">
        <v>470</v>
      </c>
      <c r="D17" s="534">
        <f>+'[9]Lift Wall New'!R150</f>
        <v>4016.0273539297555</v>
      </c>
      <c r="E17" s="528"/>
      <c r="F17" s="534">
        <f>+'[9]Lift Wall New'!T150</f>
        <v>6119.2816626068279</v>
      </c>
      <c r="G17" s="534">
        <f>+'[9]Lift Wall New'!G153</f>
        <v>1350.3780307136403</v>
      </c>
      <c r="H17" s="534">
        <f>+'[9]Lift Wall New'!G154</f>
        <v>0</v>
      </c>
      <c r="I17" s="534">
        <f>+'[9]Lift Wall New'!G154</f>
        <v>0</v>
      </c>
      <c r="J17" s="534">
        <f>+'[9]Lift Wall New'!G155</f>
        <v>379.4559999999999</v>
      </c>
      <c r="K17" s="528">
        <f>+'[10]Lift Wall rev1'!R186</f>
        <v>0</v>
      </c>
      <c r="L17" s="528"/>
      <c r="M17" s="528"/>
      <c r="N17" s="523">
        <f>+SUM(G17:M17)</f>
        <v>1729.8340307136402</v>
      </c>
      <c r="O17" s="533"/>
      <c r="P17" s="618"/>
      <c r="Q17" s="625"/>
      <c r="R17" s="625"/>
      <c r="Z17" s="533"/>
      <c r="AF17" s="533"/>
      <c r="AH17" s="621"/>
      <c r="AI17" s="621"/>
    </row>
    <row r="18" spans="2:35" ht="20.100000000000001" customHeight="1" x14ac:dyDescent="0.3">
      <c r="B18" s="524"/>
      <c r="C18" s="525" t="s">
        <v>472</v>
      </c>
      <c r="D18" s="526"/>
      <c r="E18" s="526"/>
      <c r="F18" s="526"/>
      <c r="G18" s="524"/>
      <c r="H18" s="524"/>
      <c r="I18" s="524"/>
      <c r="J18" s="524"/>
      <c r="K18" s="524"/>
      <c r="L18" s="524"/>
      <c r="M18" s="524"/>
      <c r="N18" s="527"/>
      <c r="O18" s="533"/>
      <c r="P18" s="618"/>
      <c r="Q18" s="625"/>
      <c r="R18" s="625"/>
      <c r="AH18" s="621"/>
      <c r="AI18" s="621"/>
    </row>
    <row r="19" spans="2:35" ht="20.100000000000001" customHeight="1" x14ac:dyDescent="0.3">
      <c r="B19" s="527">
        <f>+B17+1</f>
        <v>11</v>
      </c>
      <c r="C19" s="530" t="s">
        <v>468</v>
      </c>
      <c r="D19" s="531">
        <f>+'[9]Typical floor - Beam'!I1443</f>
        <v>8191</v>
      </c>
      <c r="E19" s="531"/>
      <c r="F19" s="531">
        <f>+'[9]Typical floor - Beam'!J1443</f>
        <v>22742.895669809997</v>
      </c>
      <c r="G19" s="531">
        <f>+'[9]Typical floor - Beam'!T1443</f>
        <v>5614.1906172839481</v>
      </c>
      <c r="H19" s="531">
        <f>+'[9]Typical floor - Beam'!U1443</f>
        <v>7702.938271604944</v>
      </c>
      <c r="I19" s="531">
        <f>+'[9]Typical floor - Beam'!V1443</f>
        <v>2931.9022222222216</v>
      </c>
      <c r="J19" s="531">
        <f>+'[9]Typical floor - Beam'!W1443</f>
        <v>12937.693234567903</v>
      </c>
      <c r="K19" s="531">
        <f>+'[9]Typical floor - Beam'!X1443</f>
        <v>12591.696296296303</v>
      </c>
      <c r="L19" s="531">
        <f>+'[9]Typical floor - Beam'!Y1443*0.6</f>
        <v>28050.043981481467</v>
      </c>
      <c r="M19" s="531">
        <f>+'[9]Typical floor - Beam'!Z1443</f>
        <v>1096.0592592592591</v>
      </c>
      <c r="N19" s="523">
        <f>+SUM(G19:M19)</f>
        <v>70924.52388271605</v>
      </c>
      <c r="O19" s="533"/>
      <c r="Q19" s="618">
        <f>+Q$13</f>
        <v>18627.515319999999</v>
      </c>
      <c r="R19" s="625"/>
      <c r="T19" s="623">
        <f>SUM(Q19:Q23,R19:R23)</f>
        <v>22596.416481402011</v>
      </c>
      <c r="X19" s="533"/>
      <c r="AD19" s="533"/>
      <c r="AH19" s="621"/>
      <c r="AI19" s="621"/>
    </row>
    <row r="20" spans="2:35" ht="20.100000000000001" customHeight="1" x14ac:dyDescent="0.3">
      <c r="B20" s="527">
        <f>+B19+1</f>
        <v>12</v>
      </c>
      <c r="C20" s="530" t="s">
        <v>466</v>
      </c>
      <c r="D20" s="531">
        <f>+'[9]Typical floor - Slab'!H618</f>
        <v>16324.081186460246</v>
      </c>
      <c r="E20" s="531"/>
      <c r="F20" s="531">
        <f>+'[9]Typical floor - Slab'!S618</f>
        <v>33170.495991515993</v>
      </c>
      <c r="G20" s="531">
        <f>+'[9]Typical floor - Slab'!P619</f>
        <v>4475.5049876543189</v>
      </c>
      <c r="H20" s="531">
        <f>+'[9]Typical floor - Slab'!Q619</f>
        <v>23660.86851851852</v>
      </c>
      <c r="I20" s="531">
        <f>+'[9]Typical floor - Slab'!R619</f>
        <v>1854.9704444444444</v>
      </c>
      <c r="J20" s="531"/>
      <c r="K20" s="531"/>
      <c r="L20" s="531"/>
      <c r="M20" s="531"/>
      <c r="N20" s="523">
        <f t="shared" ref="N20:N22" si="2">+SUM(G20:M20)</f>
        <v>29991.343950617284</v>
      </c>
      <c r="O20" s="533"/>
      <c r="P20" s="618">
        <f t="shared" si="0"/>
        <v>33170.495991515993</v>
      </c>
      <c r="Q20" s="625"/>
      <c r="R20" s="625"/>
      <c r="V20" s="533"/>
      <c r="AB20" s="533"/>
      <c r="AH20" s="621"/>
      <c r="AI20" s="621"/>
    </row>
    <row r="21" spans="2:35" ht="20.100000000000001" customHeight="1" x14ac:dyDescent="0.3">
      <c r="B21" s="527">
        <f>+B20+1</f>
        <v>13</v>
      </c>
      <c r="C21" s="529" t="s">
        <v>467</v>
      </c>
      <c r="D21" s="534">
        <f>+D15</f>
        <v>4164.062644775222</v>
      </c>
      <c r="E21" s="534">
        <f t="shared" ref="E21:M23" si="3">+E15</f>
        <v>0</v>
      </c>
      <c r="F21" s="534">
        <f t="shared" si="3"/>
        <v>7937.802322804022</v>
      </c>
      <c r="G21" s="534">
        <f t="shared" si="3"/>
        <v>5155.0874534397453</v>
      </c>
      <c r="H21" s="534">
        <f t="shared" si="3"/>
        <v>0</v>
      </c>
      <c r="I21" s="534">
        <f t="shared" si="3"/>
        <v>0</v>
      </c>
      <c r="J21" s="534">
        <f t="shared" si="3"/>
        <v>887.80419700407515</v>
      </c>
      <c r="K21" s="534">
        <f t="shared" si="3"/>
        <v>9077.4191849067392</v>
      </c>
      <c r="L21" s="534">
        <f t="shared" si="3"/>
        <v>15922.641725083817</v>
      </c>
      <c r="M21" s="534">
        <f t="shared" si="3"/>
        <v>0</v>
      </c>
      <c r="N21" s="523">
        <f t="shared" si="2"/>
        <v>31042.952560434376</v>
      </c>
      <c r="O21" s="533"/>
      <c r="P21" s="618"/>
      <c r="Q21" s="625"/>
      <c r="R21" s="618">
        <f>+F21*0.5</f>
        <v>3968.901161402011</v>
      </c>
      <c r="U21" s="28"/>
      <c r="W21" s="533"/>
      <c r="AC21" s="533"/>
      <c r="AH21" s="621"/>
      <c r="AI21" s="621"/>
    </row>
    <row r="22" spans="2:35" ht="20.100000000000001" customHeight="1" x14ac:dyDescent="0.3">
      <c r="B22" s="527">
        <f>+B21+1</f>
        <v>14</v>
      </c>
      <c r="C22" s="529" t="s">
        <v>367</v>
      </c>
      <c r="D22" s="528">
        <f>+D16</f>
        <v>305.692748612125</v>
      </c>
      <c r="E22" s="528">
        <f t="shared" si="3"/>
        <v>0</v>
      </c>
      <c r="F22" s="528">
        <f t="shared" si="3"/>
        <v>712.2085635599999</v>
      </c>
      <c r="G22" s="528">
        <f t="shared" si="3"/>
        <v>176.37728395061728</v>
      </c>
      <c r="H22" s="528">
        <f t="shared" si="3"/>
        <v>810.31790123456778</v>
      </c>
      <c r="I22" s="528">
        <f t="shared" si="3"/>
        <v>0</v>
      </c>
      <c r="J22" s="528">
        <f t="shared" si="3"/>
        <v>0</v>
      </c>
      <c r="K22" s="528">
        <f t="shared" si="3"/>
        <v>0</v>
      </c>
      <c r="L22" s="528">
        <f t="shared" si="3"/>
        <v>0</v>
      </c>
      <c r="M22" s="528">
        <f t="shared" si="3"/>
        <v>0</v>
      </c>
      <c r="N22" s="523">
        <f t="shared" si="2"/>
        <v>986.6951851851851</v>
      </c>
      <c r="O22" s="533"/>
      <c r="P22" s="618"/>
      <c r="Q22" s="625"/>
      <c r="R22" s="625"/>
      <c r="Y22" s="533"/>
      <c r="AE22" s="533"/>
      <c r="AH22" s="621"/>
      <c r="AI22" s="621"/>
    </row>
    <row r="23" spans="2:35" ht="20.100000000000001" customHeight="1" x14ac:dyDescent="0.3">
      <c r="B23" s="527">
        <f>+B22+1</f>
        <v>15</v>
      </c>
      <c r="C23" s="529" t="s">
        <v>470</v>
      </c>
      <c r="D23" s="534">
        <f>+D17</f>
        <v>4016.0273539297555</v>
      </c>
      <c r="E23" s="534">
        <f t="shared" si="3"/>
        <v>0</v>
      </c>
      <c r="F23" s="534">
        <f t="shared" si="3"/>
        <v>6119.2816626068279</v>
      </c>
      <c r="G23" s="534">
        <f t="shared" si="3"/>
        <v>1350.3780307136403</v>
      </c>
      <c r="H23" s="534">
        <f t="shared" si="3"/>
        <v>0</v>
      </c>
      <c r="I23" s="534">
        <f t="shared" si="3"/>
        <v>0</v>
      </c>
      <c r="J23" s="534">
        <f t="shared" si="3"/>
        <v>379.4559999999999</v>
      </c>
      <c r="K23" s="534">
        <f t="shared" si="3"/>
        <v>0</v>
      </c>
      <c r="L23" s="534">
        <f t="shared" si="3"/>
        <v>0</v>
      </c>
      <c r="M23" s="534">
        <f t="shared" si="3"/>
        <v>0</v>
      </c>
      <c r="N23" s="523">
        <f>+SUM(G23:M23)</f>
        <v>1729.8340307136402</v>
      </c>
      <c r="O23" s="533"/>
      <c r="P23" s="618"/>
      <c r="Q23" s="625"/>
      <c r="R23" s="625"/>
      <c r="Z23" s="533"/>
      <c r="AF23" s="533"/>
      <c r="AH23" s="621"/>
      <c r="AI23" s="621"/>
    </row>
    <row r="24" spans="2:35" ht="20.100000000000001" customHeight="1" x14ac:dyDescent="0.3">
      <c r="B24" s="524"/>
      <c r="C24" s="525" t="s">
        <v>473</v>
      </c>
      <c r="D24" s="526"/>
      <c r="E24" s="526"/>
      <c r="F24" s="526"/>
      <c r="G24" s="524"/>
      <c r="H24" s="524"/>
      <c r="I24" s="524"/>
      <c r="J24" s="524"/>
      <c r="K24" s="524"/>
      <c r="L24" s="524"/>
      <c r="M24" s="524"/>
      <c r="N24" s="527"/>
      <c r="O24" s="533"/>
      <c r="P24" s="618"/>
      <c r="Q24" s="625"/>
      <c r="R24" s="625"/>
      <c r="AH24" s="621"/>
      <c r="AI24" s="621"/>
    </row>
    <row r="25" spans="2:35" ht="20.100000000000001" customHeight="1" x14ac:dyDescent="0.3">
      <c r="B25" s="527">
        <f>+B23+1</f>
        <v>16</v>
      </c>
      <c r="C25" s="530" t="s">
        <v>468</v>
      </c>
      <c r="D25" s="531">
        <f>+D19</f>
        <v>8191</v>
      </c>
      <c r="E25" s="531">
        <f t="shared" ref="E25:M27" si="4">+E19</f>
        <v>0</v>
      </c>
      <c r="F25" s="531">
        <f t="shared" si="4"/>
        <v>22742.895669809997</v>
      </c>
      <c r="G25" s="531">
        <f t="shared" si="4"/>
        <v>5614.1906172839481</v>
      </c>
      <c r="H25" s="531">
        <f t="shared" si="4"/>
        <v>7702.938271604944</v>
      </c>
      <c r="I25" s="531">
        <f t="shared" si="4"/>
        <v>2931.9022222222216</v>
      </c>
      <c r="J25" s="531">
        <f t="shared" si="4"/>
        <v>12937.693234567903</v>
      </c>
      <c r="K25" s="531">
        <f t="shared" si="4"/>
        <v>12591.696296296303</v>
      </c>
      <c r="L25" s="531">
        <f t="shared" si="4"/>
        <v>28050.043981481467</v>
      </c>
      <c r="M25" s="531">
        <f t="shared" si="4"/>
        <v>1096.0592592592591</v>
      </c>
      <c r="N25" s="523">
        <f>+SUM(G25:M25)</f>
        <v>70924.52388271605</v>
      </c>
      <c r="O25" s="533"/>
      <c r="P25" s="618"/>
      <c r="Q25" s="625">
        <f>+Q13</f>
        <v>18627.515319999999</v>
      </c>
      <c r="R25" s="625"/>
      <c r="T25" s="623">
        <f>SUM(Q25:Q29,R25:R29)</f>
        <v>22596.416481402011</v>
      </c>
      <c r="X25" s="533"/>
      <c r="AD25" s="533"/>
      <c r="AH25" s="621"/>
      <c r="AI25" s="621"/>
    </row>
    <row r="26" spans="2:35" ht="20.100000000000001" customHeight="1" x14ac:dyDescent="0.3">
      <c r="B26" s="527">
        <f>+B25+1</f>
        <v>17</v>
      </c>
      <c r="C26" s="530" t="s">
        <v>466</v>
      </c>
      <c r="D26" s="531">
        <f t="shared" ref="D26:D29" si="5">+D20</f>
        <v>16324.081186460246</v>
      </c>
      <c r="E26" s="531">
        <f t="shared" si="4"/>
        <v>0</v>
      </c>
      <c r="F26" s="531">
        <f t="shared" si="4"/>
        <v>33170.495991515993</v>
      </c>
      <c r="G26" s="531">
        <f t="shared" si="4"/>
        <v>4475.5049876543189</v>
      </c>
      <c r="H26" s="531">
        <f t="shared" si="4"/>
        <v>23660.86851851852</v>
      </c>
      <c r="I26" s="531">
        <f t="shared" si="4"/>
        <v>1854.9704444444444</v>
      </c>
      <c r="J26" s="531">
        <f t="shared" si="4"/>
        <v>0</v>
      </c>
      <c r="K26" s="531">
        <f t="shared" si="4"/>
        <v>0</v>
      </c>
      <c r="L26" s="531">
        <f t="shared" si="4"/>
        <v>0</v>
      </c>
      <c r="M26" s="531">
        <f t="shared" si="4"/>
        <v>0</v>
      </c>
      <c r="N26" s="523">
        <f t="shared" ref="N26:N28" si="6">+SUM(G26:M26)</f>
        <v>29991.343950617284</v>
      </c>
      <c r="O26" s="533"/>
      <c r="P26" s="618">
        <f>+N26</f>
        <v>29991.343950617284</v>
      </c>
      <c r="Q26" s="625"/>
      <c r="R26" s="625"/>
      <c r="V26" s="533"/>
      <c r="AB26" s="533"/>
      <c r="AH26" s="621"/>
      <c r="AI26" s="621"/>
    </row>
    <row r="27" spans="2:35" ht="20.100000000000001" customHeight="1" x14ac:dyDescent="0.3">
      <c r="B27" s="527">
        <f>+B26+1</f>
        <v>18</v>
      </c>
      <c r="C27" s="529" t="s">
        <v>467</v>
      </c>
      <c r="D27" s="531">
        <f t="shared" si="5"/>
        <v>4164.062644775222</v>
      </c>
      <c r="E27" s="531">
        <f t="shared" si="4"/>
        <v>0</v>
      </c>
      <c r="F27" s="531">
        <f t="shared" si="4"/>
        <v>7937.802322804022</v>
      </c>
      <c r="G27" s="531">
        <f t="shared" si="4"/>
        <v>5155.0874534397453</v>
      </c>
      <c r="H27" s="531">
        <f t="shared" si="4"/>
        <v>0</v>
      </c>
      <c r="I27" s="531">
        <f t="shared" si="4"/>
        <v>0</v>
      </c>
      <c r="J27" s="531">
        <f t="shared" si="4"/>
        <v>887.80419700407515</v>
      </c>
      <c r="K27" s="531">
        <f t="shared" si="4"/>
        <v>9077.4191849067392</v>
      </c>
      <c r="L27" s="531">
        <f t="shared" si="4"/>
        <v>15922.641725083817</v>
      </c>
      <c r="M27" s="531">
        <f t="shared" si="4"/>
        <v>0</v>
      </c>
      <c r="N27" s="523">
        <f t="shared" si="6"/>
        <v>31042.952560434376</v>
      </c>
      <c r="O27" s="533"/>
      <c r="P27" s="618"/>
      <c r="Q27" s="625"/>
      <c r="R27" s="618">
        <f>+F27*0.5</f>
        <v>3968.901161402011</v>
      </c>
      <c r="U27" s="28"/>
      <c r="W27" s="533"/>
      <c r="AC27" s="533"/>
      <c r="AH27" s="621"/>
      <c r="AI27" s="621"/>
    </row>
    <row r="28" spans="2:35" ht="20.100000000000001" customHeight="1" x14ac:dyDescent="0.3">
      <c r="B28" s="527">
        <f>+B27+1</f>
        <v>19</v>
      </c>
      <c r="C28" s="529" t="s">
        <v>367</v>
      </c>
      <c r="D28" s="531">
        <f t="shared" si="5"/>
        <v>305.692748612125</v>
      </c>
      <c r="E28" s="528">
        <f t="shared" ref="E28:M29" si="7">+E16</f>
        <v>0</v>
      </c>
      <c r="F28" s="528">
        <f t="shared" si="7"/>
        <v>712.2085635599999</v>
      </c>
      <c r="G28" s="528">
        <f t="shared" si="7"/>
        <v>176.37728395061728</v>
      </c>
      <c r="H28" s="528">
        <f t="shared" si="7"/>
        <v>810.31790123456778</v>
      </c>
      <c r="I28" s="528">
        <f t="shared" si="7"/>
        <v>0</v>
      </c>
      <c r="J28" s="528">
        <f t="shared" si="7"/>
        <v>0</v>
      </c>
      <c r="K28" s="528">
        <f t="shared" si="7"/>
        <v>0</v>
      </c>
      <c r="L28" s="528">
        <f t="shared" si="7"/>
        <v>0</v>
      </c>
      <c r="M28" s="528">
        <f t="shared" si="7"/>
        <v>0</v>
      </c>
      <c r="N28" s="523">
        <f t="shared" si="6"/>
        <v>986.6951851851851</v>
      </c>
      <c r="O28" s="533"/>
      <c r="P28" s="618"/>
      <c r="Q28" s="625"/>
      <c r="R28" s="625"/>
      <c r="Y28" s="533"/>
      <c r="AE28" s="533"/>
      <c r="AH28" s="621"/>
      <c r="AI28" s="621"/>
    </row>
    <row r="29" spans="2:35" ht="20.100000000000001" customHeight="1" x14ac:dyDescent="0.3">
      <c r="B29" s="527">
        <f>+B28+1</f>
        <v>20</v>
      </c>
      <c r="C29" s="529" t="s">
        <v>470</v>
      </c>
      <c r="D29" s="531">
        <f t="shared" si="5"/>
        <v>4016.0273539297555</v>
      </c>
      <c r="E29" s="534">
        <f t="shared" si="7"/>
        <v>0</v>
      </c>
      <c r="F29" s="534">
        <f t="shared" si="7"/>
        <v>6119.2816626068279</v>
      </c>
      <c r="G29" s="534">
        <f t="shared" si="7"/>
        <v>1350.3780307136403</v>
      </c>
      <c r="H29" s="534">
        <f t="shared" si="7"/>
        <v>0</v>
      </c>
      <c r="I29" s="534">
        <f t="shared" si="7"/>
        <v>0</v>
      </c>
      <c r="J29" s="534">
        <f t="shared" si="7"/>
        <v>379.4559999999999</v>
      </c>
      <c r="K29" s="534">
        <f t="shared" si="7"/>
        <v>0</v>
      </c>
      <c r="L29" s="534">
        <f t="shared" si="7"/>
        <v>0</v>
      </c>
      <c r="M29" s="534">
        <f t="shared" si="7"/>
        <v>0</v>
      </c>
      <c r="N29" s="523">
        <f>+SUM(G29:M29)</f>
        <v>1729.8340307136402</v>
      </c>
      <c r="O29" s="533"/>
      <c r="P29" s="618"/>
      <c r="Q29" s="625"/>
      <c r="R29" s="625"/>
      <c r="Z29" s="533"/>
      <c r="AF29" s="533"/>
      <c r="AH29" s="621"/>
      <c r="AI29" s="621"/>
    </row>
    <row r="30" spans="2:35" ht="36" customHeight="1" x14ac:dyDescent="0.3">
      <c r="B30" s="524"/>
      <c r="C30" s="536" t="s">
        <v>474</v>
      </c>
      <c r="D30" s="526"/>
      <c r="E30" s="526"/>
      <c r="F30" s="526"/>
      <c r="G30" s="524"/>
      <c r="H30" s="524"/>
      <c r="I30" s="524"/>
      <c r="J30" s="524"/>
      <c r="K30" s="524"/>
      <c r="L30" s="524"/>
      <c r="M30" s="524"/>
      <c r="N30" s="527"/>
      <c r="O30" s="533"/>
      <c r="P30" s="618"/>
      <c r="Q30" s="625"/>
      <c r="R30" s="625"/>
      <c r="AH30" s="621"/>
      <c r="AI30" s="621"/>
    </row>
    <row r="31" spans="2:35" ht="20.100000000000001" customHeight="1" x14ac:dyDescent="0.3">
      <c r="B31" s="527">
        <f>+B29+1</f>
        <v>21</v>
      </c>
      <c r="C31" s="530" t="s">
        <v>468</v>
      </c>
      <c r="D31" s="531">
        <f>+D25</f>
        <v>8191</v>
      </c>
      <c r="E31" s="531">
        <f>+E25</f>
        <v>0</v>
      </c>
      <c r="F31" s="531">
        <f>+F25</f>
        <v>22742.895669809997</v>
      </c>
      <c r="G31" s="531">
        <f t="shared" ref="G31:M31" si="8">+G25*1.15</f>
        <v>6456.3192098765394</v>
      </c>
      <c r="H31" s="531">
        <f t="shared" si="8"/>
        <v>8858.3790123456856</v>
      </c>
      <c r="I31" s="531">
        <f t="shared" si="8"/>
        <v>3371.6875555555544</v>
      </c>
      <c r="J31" s="531">
        <f t="shared" si="8"/>
        <v>14878.347219753088</v>
      </c>
      <c r="K31" s="531">
        <f t="shared" si="8"/>
        <v>14480.450740740747</v>
      </c>
      <c r="L31" s="531">
        <f t="shared" si="8"/>
        <v>32257.550578703685</v>
      </c>
      <c r="M31" s="531">
        <f t="shared" si="8"/>
        <v>1260.4681481481477</v>
      </c>
      <c r="N31" s="523">
        <f>+SUM(G31:M31)</f>
        <v>81563.202465123453</v>
      </c>
      <c r="O31" s="533"/>
      <c r="Q31" s="618">
        <f>+Q$13</f>
        <v>18627.515319999999</v>
      </c>
      <c r="R31" s="625"/>
      <c r="T31" s="623">
        <f>SUM(Q31:Q35,R31:R35)</f>
        <v>22596.416481402011</v>
      </c>
      <c r="X31" s="533"/>
      <c r="AD31" s="533"/>
      <c r="AH31" s="621"/>
      <c r="AI31" s="621"/>
    </row>
    <row r="32" spans="2:35" ht="20.100000000000001" customHeight="1" x14ac:dyDescent="0.3">
      <c r="B32" s="527">
        <f>+B31+1</f>
        <v>22</v>
      </c>
      <c r="C32" s="530" t="s">
        <v>466</v>
      </c>
      <c r="D32" s="531">
        <f t="shared" ref="D32:M35" si="9">+D26</f>
        <v>16324.081186460246</v>
      </c>
      <c r="E32" s="531">
        <f t="shared" si="9"/>
        <v>0</v>
      </c>
      <c r="F32" s="531">
        <f t="shared" si="9"/>
        <v>33170.495991515993</v>
      </c>
      <c r="G32" s="531">
        <f>+G26*1.15</f>
        <v>5146.8307358024667</v>
      </c>
      <c r="H32" s="531">
        <f>+H26*1.15</f>
        <v>27209.998796296295</v>
      </c>
      <c r="I32" s="531">
        <f>+I26*1.15</f>
        <v>2133.2160111111111</v>
      </c>
      <c r="J32" s="531">
        <f t="shared" si="9"/>
        <v>0</v>
      </c>
      <c r="K32" s="531">
        <f t="shared" si="9"/>
        <v>0</v>
      </c>
      <c r="L32" s="531">
        <f t="shared" si="9"/>
        <v>0</v>
      </c>
      <c r="M32" s="531">
        <f t="shared" si="9"/>
        <v>0</v>
      </c>
      <c r="N32" s="523">
        <f t="shared" ref="N32:N34" si="10">+SUM(G32:M32)</f>
        <v>34490.045543209868</v>
      </c>
      <c r="O32" s="533"/>
      <c r="P32" s="618">
        <f t="shared" si="0"/>
        <v>33170.495991515993</v>
      </c>
      <c r="Q32" s="625"/>
      <c r="R32" s="625"/>
      <c r="V32" s="533"/>
      <c r="AB32" s="533"/>
      <c r="AH32" s="621"/>
      <c r="AI32" s="621"/>
    </row>
    <row r="33" spans="2:35" ht="20.100000000000001" customHeight="1" x14ac:dyDescent="0.3">
      <c r="B33" s="527">
        <f>+B32+1</f>
        <v>23</v>
      </c>
      <c r="C33" s="529" t="s">
        <v>467</v>
      </c>
      <c r="D33" s="531">
        <f t="shared" si="9"/>
        <v>4164.062644775222</v>
      </c>
      <c r="E33" s="531">
        <f t="shared" si="9"/>
        <v>0</v>
      </c>
      <c r="F33" s="531">
        <f t="shared" si="9"/>
        <v>7937.802322804022</v>
      </c>
      <c r="G33" s="531">
        <f t="shared" si="9"/>
        <v>5155.0874534397453</v>
      </c>
      <c r="H33" s="531">
        <f t="shared" si="9"/>
        <v>0</v>
      </c>
      <c r="I33" s="531">
        <f t="shared" si="9"/>
        <v>0</v>
      </c>
      <c r="J33" s="531">
        <f t="shared" si="9"/>
        <v>887.80419700407515</v>
      </c>
      <c r="K33" s="531">
        <f t="shared" si="9"/>
        <v>9077.4191849067392</v>
      </c>
      <c r="L33" s="531">
        <f t="shared" si="9"/>
        <v>15922.641725083817</v>
      </c>
      <c r="M33" s="531">
        <f t="shared" si="9"/>
        <v>0</v>
      </c>
      <c r="N33" s="523">
        <f>+SUM(G33:M33)</f>
        <v>31042.952560434376</v>
      </c>
      <c r="O33" s="533"/>
      <c r="P33" s="618"/>
      <c r="Q33" s="625"/>
      <c r="R33" s="618">
        <f>+F33*0.5</f>
        <v>3968.901161402011</v>
      </c>
      <c r="U33" s="28"/>
      <c r="W33" s="533"/>
      <c r="AC33" s="533"/>
      <c r="AH33" s="621"/>
      <c r="AI33" s="621"/>
    </row>
    <row r="34" spans="2:35" ht="20.100000000000001" customHeight="1" x14ac:dyDescent="0.3">
      <c r="B34" s="527">
        <f>+B33+1</f>
        <v>24</v>
      </c>
      <c r="C34" s="529" t="s">
        <v>367</v>
      </c>
      <c r="D34" s="531">
        <f t="shared" si="9"/>
        <v>305.692748612125</v>
      </c>
      <c r="E34" s="531">
        <f t="shared" si="9"/>
        <v>0</v>
      </c>
      <c r="F34" s="531">
        <f t="shared" si="9"/>
        <v>712.2085635599999</v>
      </c>
      <c r="G34" s="531">
        <f t="shared" si="9"/>
        <v>176.37728395061728</v>
      </c>
      <c r="H34" s="531">
        <f t="shared" si="9"/>
        <v>810.31790123456778</v>
      </c>
      <c r="I34" s="531">
        <f t="shared" si="9"/>
        <v>0</v>
      </c>
      <c r="J34" s="531">
        <f t="shared" si="9"/>
        <v>0</v>
      </c>
      <c r="K34" s="531">
        <f t="shared" si="9"/>
        <v>0</v>
      </c>
      <c r="L34" s="531">
        <f t="shared" si="9"/>
        <v>0</v>
      </c>
      <c r="M34" s="531">
        <f t="shared" si="9"/>
        <v>0</v>
      </c>
      <c r="N34" s="523">
        <f t="shared" si="10"/>
        <v>986.6951851851851</v>
      </c>
      <c r="O34" s="533"/>
      <c r="P34" s="618"/>
      <c r="Q34" s="625"/>
      <c r="R34" s="625"/>
      <c r="Y34" s="533"/>
      <c r="AE34" s="533"/>
      <c r="AH34" s="621"/>
      <c r="AI34" s="621"/>
    </row>
    <row r="35" spans="2:35" ht="20.100000000000001" customHeight="1" x14ac:dyDescent="0.3">
      <c r="B35" s="527">
        <f>+B34+1</f>
        <v>25</v>
      </c>
      <c r="C35" s="529" t="s">
        <v>470</v>
      </c>
      <c r="D35" s="531">
        <f t="shared" si="9"/>
        <v>4016.0273539297555</v>
      </c>
      <c r="E35" s="531">
        <f t="shared" si="9"/>
        <v>0</v>
      </c>
      <c r="F35" s="531">
        <f t="shared" si="9"/>
        <v>6119.2816626068279</v>
      </c>
      <c r="G35" s="531">
        <f t="shared" si="9"/>
        <v>1350.3780307136403</v>
      </c>
      <c r="H35" s="531">
        <f t="shared" si="9"/>
        <v>0</v>
      </c>
      <c r="I35" s="531">
        <f t="shared" si="9"/>
        <v>0</v>
      </c>
      <c r="J35" s="531">
        <f t="shared" si="9"/>
        <v>379.4559999999999</v>
      </c>
      <c r="K35" s="531">
        <f t="shared" si="9"/>
        <v>0</v>
      </c>
      <c r="L35" s="531">
        <f t="shared" si="9"/>
        <v>0</v>
      </c>
      <c r="M35" s="531">
        <f t="shared" si="9"/>
        <v>0</v>
      </c>
      <c r="N35" s="523">
        <f>+SUM(G35:M35)</f>
        <v>1729.8340307136402</v>
      </c>
      <c r="O35" s="533"/>
      <c r="P35" s="618"/>
      <c r="Q35" s="625"/>
      <c r="R35" s="625"/>
      <c r="Z35" s="533"/>
      <c r="AF35" s="533"/>
      <c r="AH35" s="621"/>
      <c r="AI35" s="621"/>
    </row>
    <row r="36" spans="2:35" ht="20.100000000000001" customHeight="1" x14ac:dyDescent="0.3">
      <c r="B36" s="527"/>
      <c r="C36" s="529"/>
      <c r="D36" s="528"/>
      <c r="E36" s="528"/>
      <c r="F36" s="528"/>
      <c r="G36" s="528"/>
      <c r="H36" s="528"/>
      <c r="I36" s="528"/>
      <c r="J36" s="528"/>
      <c r="K36" s="528"/>
      <c r="L36" s="528"/>
      <c r="M36" s="535"/>
      <c r="N36" s="523"/>
      <c r="O36" s="533"/>
      <c r="Y36" s="533"/>
      <c r="AE36" s="533"/>
      <c r="AH36" s="621"/>
      <c r="AI36" s="621"/>
    </row>
    <row r="37" spans="2:35" ht="20.100000000000001" customHeight="1" x14ac:dyDescent="0.3">
      <c r="B37" s="537"/>
      <c r="C37" s="538" t="s">
        <v>171</v>
      </c>
      <c r="D37" s="539">
        <f t="shared" ref="D37:T37" si="11">SUM(D6:D36)</f>
        <v>159402.27500139389</v>
      </c>
      <c r="E37" s="539">
        <f t="shared" si="11"/>
        <v>0</v>
      </c>
      <c r="F37" s="539">
        <f t="shared" si="11"/>
        <v>344157.82834264124</v>
      </c>
      <c r="G37" s="539">
        <f t="shared" si="11"/>
        <v>79649.980178588827</v>
      </c>
      <c r="H37" s="539">
        <f t="shared" si="11"/>
        <v>168935.64138888897</v>
      </c>
      <c r="I37" s="539">
        <f t="shared" si="11"/>
        <v>24940.412011111108</v>
      </c>
      <c r="J37" s="539">
        <f t="shared" si="11"/>
        <v>71290.531513942246</v>
      </c>
      <c r="K37" s="539">
        <f t="shared" si="11"/>
        <v>98591.322542096124</v>
      </c>
      <c r="L37" s="539">
        <f t="shared" si="11"/>
        <v>206519.02025681664</v>
      </c>
      <c r="M37" s="539">
        <f t="shared" si="11"/>
        <v>5243.0696296296283</v>
      </c>
      <c r="N37" s="539">
        <f t="shared" si="11"/>
        <v>655169.97752107354</v>
      </c>
      <c r="O37" s="533"/>
      <c r="P37" s="617">
        <f t="shared" si="11"/>
        <v>168550.59747335923</v>
      </c>
      <c r="Q37" s="617">
        <f t="shared" si="11"/>
        <v>92073.645279999997</v>
      </c>
      <c r="R37" s="617">
        <f t="shared" si="11"/>
        <v>19843.604645608044</v>
      </c>
      <c r="T37" s="617">
        <f t="shared" si="11"/>
        <v>111917.24992560805</v>
      </c>
      <c r="AH37" s="635"/>
      <c r="AI37" s="635"/>
    </row>
    <row r="38" spans="2:35" s="89" customFormat="1" ht="20.100000000000001" customHeight="1" x14ac:dyDescent="0.3">
      <c r="B38" s="540"/>
      <c r="C38" s="541" t="s">
        <v>475</v>
      </c>
      <c r="D38" s="542">
        <f>+D37/35.315</f>
        <v>4513.7271697973638</v>
      </c>
      <c r="E38" s="542">
        <f t="shared" ref="E38:M38" si="12">+E37</f>
        <v>0</v>
      </c>
      <c r="F38" s="542">
        <f t="shared" si="12"/>
        <v>344157.82834264124</v>
      </c>
      <c r="G38" s="542">
        <f t="shared" si="12"/>
        <v>79649.980178588827</v>
      </c>
      <c r="H38" s="542">
        <f t="shared" si="12"/>
        <v>168935.64138888897</v>
      </c>
      <c r="I38" s="542">
        <f t="shared" si="12"/>
        <v>24940.412011111108</v>
      </c>
      <c r="J38" s="542">
        <f t="shared" si="12"/>
        <v>71290.531513942246</v>
      </c>
      <c r="K38" s="542">
        <f t="shared" si="12"/>
        <v>98591.322542096124</v>
      </c>
      <c r="L38" s="542">
        <f t="shared" si="12"/>
        <v>206519.02025681664</v>
      </c>
      <c r="M38" s="542">
        <f t="shared" si="12"/>
        <v>5243.0696296296283</v>
      </c>
      <c r="N38" s="542">
        <f>+N37</f>
        <v>655169.97752107354</v>
      </c>
      <c r="O38" s="533"/>
      <c r="P38" s="622"/>
      <c r="Q38" s="544"/>
      <c r="R38" s="544"/>
      <c r="S38" s="544"/>
      <c r="T38" s="544"/>
      <c r="V38" s="623"/>
      <c r="W38" s="623"/>
      <c r="X38" s="623"/>
      <c r="Y38" s="623"/>
      <c r="Z38" s="623"/>
      <c r="AB38" s="544"/>
      <c r="AC38" s="544"/>
      <c r="AD38" s="544"/>
      <c r="AE38" s="544"/>
      <c r="AF38" s="544"/>
      <c r="AG38" s="620"/>
    </row>
    <row r="39" spans="2:35" s="89" customFormat="1" ht="20.100000000000001" customHeight="1" x14ac:dyDescent="0.3">
      <c r="B39" s="540"/>
      <c r="C39" s="541" t="s">
        <v>476</v>
      </c>
      <c r="D39" s="542">
        <f>+ROUNDUP(D38,0)</f>
        <v>4514</v>
      </c>
      <c r="E39" s="542">
        <f t="shared" ref="E39:M39" si="13">+ROUNDUP(E38,0)</f>
        <v>0</v>
      </c>
      <c r="F39" s="542">
        <f t="shared" si="13"/>
        <v>344158</v>
      </c>
      <c r="G39" s="542">
        <f t="shared" si="13"/>
        <v>79650</v>
      </c>
      <c r="H39" s="542">
        <f t="shared" si="13"/>
        <v>168936</v>
      </c>
      <c r="I39" s="542">
        <f t="shared" si="13"/>
        <v>24941</v>
      </c>
      <c r="J39" s="542">
        <f t="shared" si="13"/>
        <v>71291</v>
      </c>
      <c r="K39" s="542">
        <f t="shared" si="13"/>
        <v>98592</v>
      </c>
      <c r="L39" s="542">
        <f>+ROUNDUP(L38,0)</f>
        <v>206520</v>
      </c>
      <c r="M39" s="542">
        <f t="shared" si="13"/>
        <v>5244</v>
      </c>
      <c r="N39" s="542">
        <f>+SUM(G39:M39)</f>
        <v>655174</v>
      </c>
      <c r="O39" s="533"/>
      <c r="P39" s="622"/>
      <c r="Q39" s="544"/>
      <c r="R39" s="544">
        <f>+R37+Q37</f>
        <v>111917.24992560805</v>
      </c>
      <c r="S39" s="544"/>
      <c r="T39" s="544"/>
    </row>
    <row r="40" spans="2:35" s="89" customFormat="1" ht="18.75" customHeight="1" x14ac:dyDescent="0.3">
      <c r="B40" s="543"/>
      <c r="D40" s="544"/>
      <c r="E40" s="544"/>
      <c r="F40" s="544"/>
      <c r="G40" s="544"/>
      <c r="H40" s="544"/>
      <c r="I40" s="544"/>
      <c r="J40" s="544"/>
      <c r="K40" s="544"/>
      <c r="L40" s="544"/>
      <c r="M40" s="544"/>
      <c r="N40" s="544"/>
      <c r="P40" s="622"/>
      <c r="Q40" s="544"/>
      <c r="R40" s="544"/>
      <c r="S40" s="544"/>
      <c r="T40" s="544"/>
    </row>
    <row r="41" spans="2:35" s="89" customFormat="1" ht="18.75" customHeight="1" x14ac:dyDescent="0.3">
      <c r="B41" s="543"/>
      <c r="D41" s="544"/>
      <c r="E41" s="544" t="s">
        <v>477</v>
      </c>
      <c r="F41" s="544">
        <f>+F39/10.762</f>
        <v>31979.000185839061</v>
      </c>
      <c r="G41" s="544"/>
      <c r="H41" s="544">
        <f>+F41*4</f>
        <v>127916.00074335624</v>
      </c>
      <c r="I41" s="544"/>
      <c r="J41" s="544"/>
      <c r="K41" s="544"/>
      <c r="L41" s="544"/>
      <c r="M41" s="544"/>
      <c r="N41" s="544"/>
      <c r="P41" s="622"/>
      <c r="Q41" s="544"/>
      <c r="R41" s="544"/>
      <c r="S41" s="544"/>
      <c r="T41" s="544"/>
    </row>
    <row r="42" spans="2:35" ht="18.75" customHeight="1" x14ac:dyDescent="0.3">
      <c r="C42" s="261"/>
      <c r="E42" s="544" t="s">
        <v>478</v>
      </c>
      <c r="F42" s="533">
        <f>+F14</f>
        <v>33170.495991515993</v>
      </c>
      <c r="H42" s="261">
        <f>+F42*1.05</f>
        <v>34829.020791091796</v>
      </c>
      <c r="L42" s="533"/>
      <c r="N42" s="533">
        <f>+N25+N26+N27+N28+N29</f>
        <v>134675.34960966653</v>
      </c>
    </row>
    <row r="43" spans="2:35" ht="18.75" customHeight="1" x14ac:dyDescent="0.3">
      <c r="C43" s="261"/>
      <c r="L43" s="533"/>
      <c r="N43" s="533"/>
    </row>
    <row r="44" spans="2:35" ht="18.75" customHeight="1" x14ac:dyDescent="0.3">
      <c r="C44" s="261"/>
      <c r="E44" s="260">
        <v>344157</v>
      </c>
      <c r="L44" s="533"/>
      <c r="N44" s="533"/>
    </row>
    <row r="45" spans="2:35" ht="18.75" customHeight="1" x14ac:dyDescent="0.3">
      <c r="C45" s="261"/>
      <c r="L45" s="533"/>
      <c r="N45" s="533"/>
    </row>
    <row r="46" spans="2:35" ht="25.5" customHeight="1" x14ac:dyDescent="0.3">
      <c r="B46" s="844" t="s">
        <v>46</v>
      </c>
      <c r="C46" s="844" t="s">
        <v>1</v>
      </c>
      <c r="D46" s="844" t="s">
        <v>50</v>
      </c>
      <c r="E46" s="845" t="s">
        <v>10</v>
      </c>
      <c r="F46" s="844" t="s">
        <v>479</v>
      </c>
      <c r="G46" s="844"/>
      <c r="H46" s="545" t="s">
        <v>480</v>
      </c>
      <c r="I46" s="545"/>
      <c r="N46" s="261">
        <f>+'[9]Budget R3'!E17+'[9]Budget R3'!E18+'[9]Budget R3'!E19+'[9]Budget R3'!E20+'[9]Budget R3'!E21+'[9]Budget R3'!E22+'[9]Budget R3'!E23</f>
        <v>655174</v>
      </c>
    </row>
    <row r="47" spans="2:35" ht="20.100000000000001" customHeight="1" x14ac:dyDescent="0.3">
      <c r="B47" s="844"/>
      <c r="C47" s="844"/>
      <c r="D47" s="844"/>
      <c r="E47" s="846"/>
      <c r="F47" s="545" t="s">
        <v>481</v>
      </c>
      <c r="G47" s="545" t="s">
        <v>23</v>
      </c>
      <c r="H47" s="545" t="s">
        <v>481</v>
      </c>
      <c r="I47" s="545" t="s">
        <v>23</v>
      </c>
      <c r="N47" s="546">
        <f>+N46+N42</f>
        <v>789849.3496096665</v>
      </c>
    </row>
    <row r="48" spans="2:35" ht="20.100000000000001" customHeight="1" x14ac:dyDescent="0.3">
      <c r="B48" s="369">
        <v>1</v>
      </c>
      <c r="C48" s="370" t="s">
        <v>482</v>
      </c>
      <c r="D48" s="369" t="s">
        <v>103</v>
      </c>
      <c r="E48" s="374">
        <f>+F41*0+E44</f>
        <v>344157</v>
      </c>
      <c r="F48" s="547">
        <f>0.067/100</f>
        <v>6.7000000000000002E-4</v>
      </c>
      <c r="G48" s="371">
        <f>F48*E48</f>
        <v>230.58519000000001</v>
      </c>
      <c r="H48" s="548">
        <f>0.5/100</f>
        <v>5.0000000000000001E-3</v>
      </c>
      <c r="I48" s="371">
        <f>E48*H48</f>
        <v>1720.7850000000001</v>
      </c>
      <c r="N48" s="261">
        <f>+N47/'[9]Budget R3'!G4</f>
        <v>3.8658690745447104</v>
      </c>
    </row>
    <row r="49" spans="2:14" ht="20.100000000000001" customHeight="1" x14ac:dyDescent="0.3">
      <c r="B49" s="369">
        <f>+B48+1</f>
        <v>2</v>
      </c>
      <c r="C49" s="370" t="s">
        <v>483</v>
      </c>
      <c r="D49" s="369" t="s">
        <v>103</v>
      </c>
      <c r="E49" s="374">
        <f>+F38*0</f>
        <v>0</v>
      </c>
      <c r="F49" s="547">
        <f>0.1/100</f>
        <v>1E-3</v>
      </c>
      <c r="G49" s="371">
        <f>F49*E49</f>
        <v>0</v>
      </c>
      <c r="H49" s="548">
        <f>0.5/100</f>
        <v>5.0000000000000001E-3</v>
      </c>
      <c r="I49" s="371">
        <f>E49*H49</f>
        <v>0</v>
      </c>
      <c r="N49" s="261">
        <f>+N47/N51</f>
        <v>4.8168007269857327</v>
      </c>
    </row>
    <row r="50" spans="2:14" ht="20.100000000000001" customHeight="1" x14ac:dyDescent="0.3">
      <c r="B50" s="369"/>
      <c r="C50" s="437" t="s">
        <v>484</v>
      </c>
      <c r="D50" s="369"/>
      <c r="E50" s="374"/>
      <c r="F50" s="547"/>
      <c r="G50" s="549">
        <f>SUM(G48:G49)</f>
        <v>230.58519000000001</v>
      </c>
      <c r="H50" s="550"/>
      <c r="I50" s="549">
        <f>SUM(I48:I49)</f>
        <v>1720.7850000000001</v>
      </c>
    </row>
    <row r="51" spans="2:14" ht="20.100000000000001" customHeight="1" x14ac:dyDescent="0.3">
      <c r="B51" s="369"/>
      <c r="C51" s="437" t="s">
        <v>485</v>
      </c>
      <c r="D51" s="437"/>
      <c r="E51" s="551"/>
      <c r="F51" s="549"/>
      <c r="G51" s="549">
        <f>ROUNDUP(G50,0)</f>
        <v>231</v>
      </c>
      <c r="H51" s="549"/>
      <c r="I51" s="549">
        <f>ROUNDUP(I50,0)</f>
        <v>1721</v>
      </c>
      <c r="N51" s="261">
        <f>+'[9]Budget R3'!G5</f>
        <v>163978</v>
      </c>
    </row>
    <row r="57" spans="2:14" x14ac:dyDescent="0.3">
      <c r="E57" s="261"/>
      <c r="F57" s="533"/>
      <c r="L57" s="546"/>
    </row>
    <row r="58" spans="2:14" x14ac:dyDescent="0.3">
      <c r="L58" s="546"/>
    </row>
    <row r="61" spans="2:14" x14ac:dyDescent="0.3">
      <c r="N61" s="546"/>
    </row>
    <row r="63" spans="2:14" x14ac:dyDescent="0.3">
      <c r="F63" s="533"/>
    </row>
    <row r="75" spans="4:4" x14ac:dyDescent="0.3">
      <c r="D75" s="533"/>
    </row>
    <row r="77" spans="4:4" ht="15.6" x14ac:dyDescent="0.3">
      <c r="D77" s="553"/>
    </row>
    <row r="78" spans="4:4" x14ac:dyDescent="0.3">
      <c r="D78" s="533"/>
    </row>
    <row r="79" spans="4:4" ht="15.6" x14ac:dyDescent="0.3">
      <c r="D79" s="553"/>
    </row>
  </sheetData>
  <mergeCells count="11">
    <mergeCell ref="B46:B47"/>
    <mergeCell ref="C46:C47"/>
    <mergeCell ref="D46:D47"/>
    <mergeCell ref="E46:E47"/>
    <mergeCell ref="F46:G46"/>
    <mergeCell ref="B3:C3"/>
    <mergeCell ref="B4:B5"/>
    <mergeCell ref="C4:C5"/>
    <mergeCell ref="N4:N5"/>
    <mergeCell ref="AB4:AF4"/>
    <mergeCell ref="V4:Z4"/>
  </mergeCells>
  <pageMargins left="0.7" right="0.7" top="0.75" bottom="0.75" header="0.3" footer="0.3"/>
  <pageSetup scale="2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4:F6"/>
  <sheetViews>
    <sheetView workbookViewId="0">
      <selection activeCell="C25" sqref="C25"/>
    </sheetView>
  </sheetViews>
  <sheetFormatPr defaultRowHeight="14.4" x14ac:dyDescent="0.3"/>
  <cols>
    <col min="3" max="3" width="24.88671875" customWidth="1"/>
    <col min="4" max="4" width="6.88671875" customWidth="1"/>
    <col min="5" max="5" width="11.88671875" bestFit="1" customWidth="1"/>
    <col min="6" max="6" width="32.88671875" bestFit="1" customWidth="1"/>
  </cols>
  <sheetData>
    <row r="4" spans="3:6" x14ac:dyDescent="0.3">
      <c r="C4" s="698" t="s">
        <v>574</v>
      </c>
      <c r="D4" s="697" t="s">
        <v>50</v>
      </c>
      <c r="E4" s="697" t="s">
        <v>575</v>
      </c>
      <c r="F4" s="697" t="s">
        <v>11</v>
      </c>
    </row>
    <row r="5" spans="3:6" x14ac:dyDescent="0.3">
      <c r="C5" s="699" t="s">
        <v>572</v>
      </c>
      <c r="D5" s="695" t="s">
        <v>76</v>
      </c>
      <c r="E5" s="696">
        <f>+'Budget R0'!N68</f>
        <v>1341.1482609999996</v>
      </c>
      <c r="F5" s="700" t="s">
        <v>576</v>
      </c>
    </row>
    <row r="6" spans="3:6" x14ac:dyDescent="0.3">
      <c r="C6" s="699" t="s">
        <v>573</v>
      </c>
      <c r="D6" s="695" t="s">
        <v>76</v>
      </c>
      <c r="E6" s="696">
        <f>+'Budget R0'!N69</f>
        <v>1286.1587499999996</v>
      </c>
      <c r="F6" s="700" t="s">
        <v>576</v>
      </c>
    </row>
  </sheetData>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50"/>
  <sheetViews>
    <sheetView showGridLines="0" zoomScale="85" zoomScaleNormal="85" workbookViewId="0">
      <selection activeCell="K17" sqref="K17"/>
    </sheetView>
  </sheetViews>
  <sheetFormatPr defaultColWidth="9.109375" defaultRowHeight="14.4" x14ac:dyDescent="0.3"/>
  <cols>
    <col min="1" max="1" width="0.6640625" style="1" customWidth="1"/>
    <col min="2" max="2" width="3.6640625" style="1" customWidth="1"/>
    <col min="3" max="3" width="12.44140625" style="1" customWidth="1"/>
    <col min="4" max="4" width="5" style="1" bestFit="1" customWidth="1"/>
    <col min="5" max="5" width="9.6640625" style="1" customWidth="1"/>
    <col min="6" max="6" width="10.6640625" style="1" customWidth="1"/>
    <col min="7" max="7" width="10.33203125" style="1" customWidth="1"/>
    <col min="8" max="8" width="9.33203125" style="1" customWidth="1"/>
    <col min="9" max="9" width="8.6640625" style="1" customWidth="1"/>
    <col min="10" max="10" width="11.6640625" style="1" customWidth="1"/>
    <col min="11" max="11" width="11.6640625" style="1" bestFit="1" customWidth="1"/>
    <col min="12" max="13" width="10.88671875" style="1" customWidth="1"/>
    <col min="14" max="14" width="0.33203125" style="1" customWidth="1"/>
    <col min="15" max="15" width="10" style="1" customWidth="1"/>
    <col min="16" max="16" width="9.6640625" style="1" customWidth="1"/>
    <col min="17" max="17" width="10" style="1" customWidth="1"/>
    <col min="18" max="18" width="10.33203125" style="1" customWidth="1"/>
    <col min="19" max="19" width="8.6640625" style="1" customWidth="1"/>
    <col min="20" max="20" width="10.5546875" style="1" customWidth="1"/>
    <col min="21" max="21" width="11" style="1" customWidth="1"/>
    <col min="22" max="22" width="10.6640625" style="1" customWidth="1"/>
    <col min="23" max="23" width="10.109375" style="1" customWidth="1"/>
    <col min="24" max="24" width="9.109375" style="1"/>
    <col min="25" max="25" width="10" style="1" bestFit="1" customWidth="1"/>
    <col min="26" max="26" width="10.33203125" style="1" bestFit="1" customWidth="1"/>
    <col min="27" max="27" width="11.33203125" style="1" bestFit="1" customWidth="1"/>
    <col min="28" max="28" width="9.6640625" style="1" customWidth="1"/>
    <col min="29" max="29" width="11.6640625" style="1" bestFit="1" customWidth="1"/>
    <col min="30" max="16384" width="9.109375" style="1"/>
  </cols>
  <sheetData>
    <row r="1" spans="2:29" ht="3.75" customHeight="1" x14ac:dyDescent="0.3"/>
    <row r="2" spans="2:29" ht="41.25" customHeight="1" x14ac:dyDescent="0.3">
      <c r="B2" s="726" t="s">
        <v>566</v>
      </c>
      <c r="C2" s="726"/>
      <c r="D2" s="726"/>
      <c r="E2" s="134"/>
      <c r="F2" s="134"/>
      <c r="G2" s="134"/>
      <c r="H2" s="134"/>
      <c r="I2" s="134"/>
      <c r="J2" s="134"/>
      <c r="K2" s="134"/>
      <c r="L2" s="134"/>
      <c r="M2" s="134"/>
      <c r="N2" s="134"/>
      <c r="O2" s="134"/>
      <c r="P2" s="134"/>
      <c r="Q2" s="134"/>
      <c r="R2" s="134"/>
      <c r="S2" s="134"/>
      <c r="T2" s="134"/>
      <c r="U2" s="134"/>
      <c r="V2" s="134"/>
      <c r="W2" s="134"/>
    </row>
    <row r="3" spans="2:29" ht="18.75" customHeight="1" x14ac:dyDescent="0.3">
      <c r="B3" s="727" t="s">
        <v>0</v>
      </c>
      <c r="C3" s="727" t="s">
        <v>1</v>
      </c>
      <c r="D3" s="727" t="s">
        <v>50</v>
      </c>
      <c r="E3" s="727" t="s">
        <v>81</v>
      </c>
      <c r="F3" s="727"/>
      <c r="G3" s="727"/>
      <c r="H3" s="727"/>
      <c r="I3" s="727"/>
      <c r="J3" s="727"/>
      <c r="K3" s="728"/>
      <c r="L3" s="727"/>
      <c r="M3" s="611"/>
      <c r="N3" s="163"/>
      <c r="O3" s="727" t="s">
        <v>82</v>
      </c>
      <c r="P3" s="727"/>
      <c r="Q3" s="727"/>
      <c r="R3" s="727"/>
      <c r="S3" s="727"/>
      <c r="T3" s="727"/>
      <c r="U3" s="728"/>
      <c r="V3" s="727"/>
      <c r="W3" s="727" t="s">
        <v>11</v>
      </c>
    </row>
    <row r="4" spans="2:29" ht="60" customHeight="1" x14ac:dyDescent="0.3">
      <c r="B4" s="727"/>
      <c r="C4" s="727"/>
      <c r="D4" s="727"/>
      <c r="E4" s="608" t="s">
        <v>83</v>
      </c>
      <c r="F4" s="608" t="s">
        <v>26</v>
      </c>
      <c r="G4" s="82" t="s">
        <v>27</v>
      </c>
      <c r="H4" s="82" t="s">
        <v>84</v>
      </c>
      <c r="I4" s="82" t="s">
        <v>85</v>
      </c>
      <c r="J4" s="608" t="s">
        <v>86</v>
      </c>
      <c r="K4" s="366" t="s">
        <v>318</v>
      </c>
      <c r="L4" s="82" t="s">
        <v>317</v>
      </c>
      <c r="M4" s="82" t="s">
        <v>511</v>
      </c>
      <c r="N4" s="163"/>
      <c r="O4" s="608" t="s">
        <v>83</v>
      </c>
      <c r="P4" s="608" t="s">
        <v>26</v>
      </c>
      <c r="Q4" s="82" t="s">
        <v>27</v>
      </c>
      <c r="R4" s="82" t="s">
        <v>87</v>
      </c>
      <c r="S4" s="82" t="s">
        <v>88</v>
      </c>
      <c r="T4" s="608" t="s">
        <v>86</v>
      </c>
      <c r="U4" s="366" t="s">
        <v>316</v>
      </c>
      <c r="V4" s="82" t="s">
        <v>315</v>
      </c>
      <c r="W4" s="727"/>
      <c r="Y4" s="1" t="s">
        <v>30</v>
      </c>
      <c r="Z4" s="1" t="s">
        <v>506</v>
      </c>
      <c r="AA4" s="1" t="s">
        <v>507</v>
      </c>
      <c r="AB4" s="1" t="s">
        <v>514</v>
      </c>
      <c r="AC4" s="1" t="s">
        <v>70</v>
      </c>
    </row>
    <row r="5" spans="2:29" ht="39" customHeight="1" x14ac:dyDescent="0.3">
      <c r="B5" s="65">
        <f>1</f>
        <v>1</v>
      </c>
      <c r="C5" s="164" t="s">
        <v>99</v>
      </c>
      <c r="D5" s="66" t="s">
        <v>65</v>
      </c>
      <c r="E5" s="66">
        <f>'Base Floor - BW'!K95</f>
        <v>798.79417148700031</v>
      </c>
      <c r="F5" s="66">
        <f>'Base Floor - BW'!N95</f>
        <v>1065.058895316</v>
      </c>
      <c r="G5" s="66">
        <f>'Base Floor - BW'!Q95</f>
        <v>972.19665840149992</v>
      </c>
      <c r="H5" s="66">
        <f>'Base Floor - BW'!Y95</f>
        <v>7.7548755000000007</v>
      </c>
      <c r="I5" s="66">
        <f>'Base Floor - BW'!AE95</f>
        <v>0</v>
      </c>
      <c r="J5" s="66">
        <f>+G5-H5-I5</f>
        <v>964.44178290149989</v>
      </c>
      <c r="K5" s="311">
        <f>'Base Floor - BW'!AK94</f>
        <v>1128.8674475339431</v>
      </c>
      <c r="L5" s="66">
        <f>+J5+F5+E5-K5</f>
        <v>1699.4274021705569</v>
      </c>
      <c r="M5" s="610">
        <f>+'Base Floor - BW'!AB96</f>
        <v>34.758750000000006</v>
      </c>
      <c r="N5" s="67"/>
      <c r="O5" s="66">
        <f>+'Base Floor - BW'!L95</f>
        <v>80.998047000000014</v>
      </c>
      <c r="P5" s="66">
        <f>+'Base Floor - BW'!O95</f>
        <v>107.99739600000001</v>
      </c>
      <c r="Q5" s="66">
        <f>+'Base Floor - BW'!R95</f>
        <v>94.497721500000011</v>
      </c>
      <c r="R5" s="66">
        <f>+'Base Floor - BW'!Z97</f>
        <v>0</v>
      </c>
      <c r="S5" s="66">
        <f>+'Base Floor - BW'!AF97</f>
        <v>0</v>
      </c>
      <c r="T5" s="66">
        <f t="shared" ref="T5" si="0">+Q5-R5-S5</f>
        <v>94.497721500000011</v>
      </c>
      <c r="U5" s="311">
        <f>+'Base Floor - BW'!AL94</f>
        <v>18.008565783000002</v>
      </c>
      <c r="V5" s="66">
        <f>+T5+P5+O5-U5</f>
        <v>265.48459871700004</v>
      </c>
      <c r="W5" s="65"/>
      <c r="Y5" s="589">
        <f>+U5+V5</f>
        <v>283.49316450000003</v>
      </c>
      <c r="Z5" s="589">
        <f>+K5+L5</f>
        <v>2828.2948497044999</v>
      </c>
      <c r="AA5" s="589">
        <f>+Z5/0.667</f>
        <v>4240.3221134999994</v>
      </c>
      <c r="AB5" s="589">
        <f>+'Base Floor - BW'!AE95+'Base Floor - BW'!AF95</f>
        <v>0</v>
      </c>
      <c r="AC5" s="589">
        <f>+'Base Floor - BW'!Y95+'Base Floor - BW'!Z95</f>
        <v>7.7548755000000007</v>
      </c>
    </row>
    <row r="6" spans="2:29" ht="19.649999999999999" customHeight="1" x14ac:dyDescent="0.3">
      <c r="B6" s="65">
        <f>+B5+1</f>
        <v>2</v>
      </c>
      <c r="C6" s="164" t="s">
        <v>89</v>
      </c>
      <c r="D6" s="66" t="s">
        <v>65</v>
      </c>
      <c r="E6" s="66">
        <f>+'Ground Floor - BW'!K282</f>
        <v>2943.5412250950003</v>
      </c>
      <c r="F6" s="66">
        <f>+'Ground Floor - BW'!N282</f>
        <v>3232.1435174600001</v>
      </c>
      <c r="G6" s="66">
        <f>+'Ground Floor - BW'!Q282</f>
        <v>2953.6155339374372</v>
      </c>
      <c r="H6" s="66">
        <f>+'Ground Floor - BW'!Y282</f>
        <v>159.3593001635</v>
      </c>
      <c r="I6" s="66">
        <f>+'Ground Floor - BW'!AE282</f>
        <v>35.163613687000009</v>
      </c>
      <c r="J6" s="66">
        <f>+G6-H6-I6</f>
        <v>2759.0926200869371</v>
      </c>
      <c r="K6" s="311">
        <f>+'Ground Floor - BW'!AK278</f>
        <v>1649.7888204431372</v>
      </c>
      <c r="L6" s="66">
        <f>+J6+F6+E6-K6</f>
        <v>7284.9885421987992</v>
      </c>
      <c r="M6" s="610">
        <f>+'Ground Floor - BW'!AB283</f>
        <v>764.74193332699997</v>
      </c>
      <c r="N6" s="67"/>
      <c r="O6" s="66">
        <f>+'Ground Floor - BW'!L282</f>
        <v>101.04280800000001</v>
      </c>
      <c r="P6" s="66">
        <f>+'Ground Floor - BW'!O282</f>
        <v>134.72374400000001</v>
      </c>
      <c r="Q6" s="66">
        <f>+'Ground Floor - BW'!R282</f>
        <v>104.62534168800002</v>
      </c>
      <c r="R6" s="66">
        <f>+'Ground Floor - BW'!Z284</f>
        <v>1.8077863636363638</v>
      </c>
      <c r="S6" s="66">
        <f>+'Ground Floor - BW'!AF284</f>
        <v>0</v>
      </c>
      <c r="T6" s="66">
        <f t="shared" ref="T6:T9" si="1">+Q6-R6-S6</f>
        <v>102.81755532436365</v>
      </c>
      <c r="U6" s="311">
        <f>+'Ground Floor - BW'!AL281</f>
        <v>39.310964312000003</v>
      </c>
      <c r="V6" s="66">
        <f>+(O6+P6+T6)-U6</f>
        <v>299.27314301236368</v>
      </c>
      <c r="W6" s="65"/>
      <c r="Y6" s="589">
        <f>+U6+V6</f>
        <v>338.58410732436369</v>
      </c>
      <c r="Z6" s="589">
        <f>+K6+L6</f>
        <v>8934.7773626419366</v>
      </c>
      <c r="AA6" s="589">
        <f>+Z6/0.667</f>
        <v>13395.468309808</v>
      </c>
      <c r="AB6" s="589">
        <f>+'Ground Floor - BW'!AE282+'Ground Floor - BW'!AF282</f>
        <v>35.163613687000009</v>
      </c>
      <c r="AC6" s="589">
        <f>+'Ground Floor - BW'!Y282+'Ground Floor - BW'!Z282</f>
        <v>159.95586966349998</v>
      </c>
    </row>
    <row r="7" spans="2:29" ht="19.649999999999999" customHeight="1" x14ac:dyDescent="0.3">
      <c r="B7" s="65">
        <f t="shared" ref="B7:B10" si="2">1+B6</f>
        <v>3</v>
      </c>
      <c r="C7" s="164" t="s">
        <v>90</v>
      </c>
      <c r="D7" s="66" t="s">
        <v>65</v>
      </c>
      <c r="E7" s="66">
        <f>+'1st Floor - BW '!K285</f>
        <v>3029.0449515930004</v>
      </c>
      <c r="F7" s="66">
        <f>+'1st Floor - BW '!N285</f>
        <v>3277.1861421840022</v>
      </c>
      <c r="G7" s="66">
        <f>+'1st Floor - BW '!Q285</f>
        <v>2991.7411091023887</v>
      </c>
      <c r="H7" s="66">
        <f>+'1st Floor - BW '!Y285</f>
        <v>144.44180781150001</v>
      </c>
      <c r="I7" s="66">
        <f>+'1st Floor - BW '!AE285</f>
        <v>33.938223298000004</v>
      </c>
      <c r="J7" s="66">
        <f>+G7-H7-I7</f>
        <v>2813.3610779928886</v>
      </c>
      <c r="K7" s="311">
        <f>+'1st Floor - BW '!AK285</f>
        <v>1671.0731925174073</v>
      </c>
      <c r="L7" s="66">
        <f>+J7+F7+E7-K7</f>
        <v>7448.5189792524834</v>
      </c>
      <c r="M7" s="610">
        <f>+'1st Floor - BW '!AB286</f>
        <v>693.7359486229999</v>
      </c>
      <c r="N7" s="67"/>
      <c r="O7" s="66">
        <f>+'1st Floor - BW '!L285</f>
        <v>101.06249400000002</v>
      </c>
      <c r="P7" s="66">
        <f>+'1st Floor - BW '!O285</f>
        <v>134.74999200000002</v>
      </c>
      <c r="Q7" s="66">
        <f>+'1st Floor - BW '!R285</f>
        <v>104.64393183400001</v>
      </c>
      <c r="R7" s="66">
        <f>+'1st Floor - BW '!Z287</f>
        <v>1.8077863636363638</v>
      </c>
      <c r="S7" s="66">
        <f>+'1st Floor - BW '!AF287</f>
        <v>0</v>
      </c>
      <c r="T7" s="66">
        <f t="shared" si="1"/>
        <v>102.83614547036365</v>
      </c>
      <c r="U7" s="311">
        <f>+'1st Floor - BW '!AL285</f>
        <v>39.31534116600001</v>
      </c>
      <c r="V7" s="66">
        <f t="shared" ref="V7:V10" si="3">+(O7+P7+T7)-U7</f>
        <v>299.33329030436369</v>
      </c>
      <c r="W7" s="65"/>
      <c r="Y7" s="589">
        <f t="shared" ref="Y7:Y9" si="4">+U7+V7</f>
        <v>338.64863147036368</v>
      </c>
      <c r="Z7" s="589">
        <f t="shared" ref="Z7:Z9" si="5">+K7+L7</f>
        <v>9119.5921717698911</v>
      </c>
      <c r="AA7" s="589">
        <f t="shared" ref="AA7:AA10" si="6">+Z7/0.667</f>
        <v>13672.551981664004</v>
      </c>
      <c r="AB7" s="589">
        <f>+'1st Floor - BW '!AE285+'1st Floor - BW '!AF285</f>
        <v>33.938223298000004</v>
      </c>
      <c r="AC7" s="589">
        <f>+'1st Floor - BW '!Y285+'1st Floor - BW '!Z285</f>
        <v>145.0383773115</v>
      </c>
    </row>
    <row r="8" spans="2:29" ht="19.649999999999999" customHeight="1" x14ac:dyDescent="0.3">
      <c r="B8" s="65">
        <f t="shared" si="2"/>
        <v>4</v>
      </c>
      <c r="C8" s="164" t="s">
        <v>36</v>
      </c>
      <c r="D8" s="66" t="s">
        <v>65</v>
      </c>
      <c r="E8" s="66">
        <f>+'Typical 2,3 - BW'!K283</f>
        <v>2932.5517070819997</v>
      </c>
      <c r="F8" s="66">
        <f>+'Typical 2,3 - BW'!N283</f>
        <v>3127.4179328360024</v>
      </c>
      <c r="G8" s="66">
        <f>+'Typical 2,3 - BW'!Q283</f>
        <v>2968.6064637851678</v>
      </c>
      <c r="H8" s="66">
        <f>+'Typical 2,3 - BW'!Y283</f>
        <v>143.91921331149999</v>
      </c>
      <c r="I8" s="66">
        <f>+'Typical 2,3 - BW'!AE283</f>
        <v>34.123908760999996</v>
      </c>
      <c r="J8" s="66">
        <f t="shared" ref="J8" si="7">+G8-H8-I8</f>
        <v>2790.5633417126678</v>
      </c>
      <c r="K8" s="311">
        <f>+'Typical 2,3 - BW'!AK283</f>
        <v>1584.2787813635896</v>
      </c>
      <c r="L8" s="66">
        <f>+J8+F8+E8-K8</f>
        <v>7266.2542002670798</v>
      </c>
      <c r="M8" s="610">
        <f>+'Typical 2,3 - BW'!AB284</f>
        <v>692.01353762299982</v>
      </c>
      <c r="N8" s="67"/>
      <c r="O8" s="66">
        <f>+'Typical 2,3 - BW'!L283</f>
        <v>101.06249400000002</v>
      </c>
      <c r="P8" s="66">
        <f>+'Typical 2,3 - BW'!O283</f>
        <v>134.74999200000002</v>
      </c>
      <c r="Q8" s="66">
        <f>+'Typical 2,3 - BW'!R283</f>
        <v>123.11268083400002</v>
      </c>
      <c r="R8" s="66">
        <f>+'Typical 2,3 - BW'!Z285</f>
        <v>1.8077863636363638</v>
      </c>
      <c r="S8" s="66">
        <f>+'Typical 2,3 - BW'!AF285</f>
        <v>0</v>
      </c>
      <c r="T8" s="66">
        <f t="shared" si="1"/>
        <v>121.30489447036365</v>
      </c>
      <c r="U8" s="311">
        <f>+'Typical 2,3 - BW'!AL283</f>
        <v>39.31534116600001</v>
      </c>
      <c r="V8" s="66">
        <f t="shared" si="3"/>
        <v>317.80203930436369</v>
      </c>
      <c r="W8" s="65"/>
      <c r="Y8" s="589">
        <f t="shared" si="4"/>
        <v>357.11738047036368</v>
      </c>
      <c r="Z8" s="589">
        <f t="shared" si="5"/>
        <v>8850.5329816306694</v>
      </c>
      <c r="AA8" s="589">
        <f t="shared" si="6"/>
        <v>13269.164890001002</v>
      </c>
      <c r="AB8" s="589">
        <f>+'Typical 2,3 - BW'!AE283+'Typical 2,3 - BW'!AF283</f>
        <v>34.123908760999996</v>
      </c>
      <c r="AC8" s="589">
        <f>+'Typical 2,3 - BW'!Y283+'Typical 2,3 - BW'!Z283</f>
        <v>144.51578281149997</v>
      </c>
    </row>
    <row r="9" spans="2:29" ht="19.649999999999999" customHeight="1" x14ac:dyDescent="0.3">
      <c r="B9" s="65">
        <f t="shared" si="2"/>
        <v>5</v>
      </c>
      <c r="C9" s="164" t="s">
        <v>91</v>
      </c>
      <c r="D9" s="66" t="s">
        <v>65</v>
      </c>
      <c r="E9" s="66">
        <f>+E8</f>
        <v>2932.5517070819997</v>
      </c>
      <c r="F9" s="66">
        <f>+F8</f>
        <v>3127.4179328360024</v>
      </c>
      <c r="G9" s="66">
        <f>+G8</f>
        <v>2968.6064637851678</v>
      </c>
      <c r="H9" s="66">
        <f>+H8</f>
        <v>143.91921331149999</v>
      </c>
      <c r="I9" s="66">
        <f>+I8</f>
        <v>34.123908760999996</v>
      </c>
      <c r="J9" s="66">
        <f t="shared" ref="J9:J10" si="8">+G9-H9-I9</f>
        <v>2790.5633417126678</v>
      </c>
      <c r="K9" s="311">
        <f>+K8</f>
        <v>1584.2787813635896</v>
      </c>
      <c r="L9" s="66">
        <f t="shared" ref="L9:L10" si="9">+J9+F9+E9-K9</f>
        <v>7266.2542002670798</v>
      </c>
      <c r="M9" s="610">
        <f>+M8</f>
        <v>692.01353762299982</v>
      </c>
      <c r="N9" s="67"/>
      <c r="O9" s="66">
        <f>+O8</f>
        <v>101.06249400000002</v>
      </c>
      <c r="P9" s="66">
        <f>+P8</f>
        <v>134.74999200000002</v>
      </c>
      <c r="Q9" s="66">
        <f>+Q8</f>
        <v>123.11268083400002</v>
      </c>
      <c r="R9" s="66">
        <f>+R8</f>
        <v>1.8077863636363638</v>
      </c>
      <c r="S9" s="66">
        <f>+S8</f>
        <v>0</v>
      </c>
      <c r="T9" s="66">
        <f t="shared" si="1"/>
        <v>121.30489447036365</v>
      </c>
      <c r="U9" s="311">
        <f>+U8</f>
        <v>39.31534116600001</v>
      </c>
      <c r="V9" s="66">
        <f t="shared" si="3"/>
        <v>317.80203930436369</v>
      </c>
      <c r="W9" s="65"/>
      <c r="Y9" s="589">
        <f t="shared" si="4"/>
        <v>357.11738047036368</v>
      </c>
      <c r="Z9" s="589">
        <f t="shared" si="5"/>
        <v>8850.5329816306694</v>
      </c>
      <c r="AA9" s="589">
        <f t="shared" si="6"/>
        <v>13269.164890001002</v>
      </c>
      <c r="AB9" s="589">
        <f>+AB8</f>
        <v>34.123908760999996</v>
      </c>
      <c r="AC9" s="589">
        <f>+AC8</f>
        <v>144.51578281149997</v>
      </c>
    </row>
    <row r="10" spans="2:29" ht="30.75" customHeight="1" x14ac:dyDescent="0.3">
      <c r="B10" s="65">
        <f t="shared" si="2"/>
        <v>6</v>
      </c>
      <c r="C10" s="164" t="s">
        <v>92</v>
      </c>
      <c r="D10" s="66" t="s">
        <v>65</v>
      </c>
      <c r="E10" s="66">
        <f>+'Terrace - BW'!K86</f>
        <v>3922.2407596429994</v>
      </c>
      <c r="F10" s="66">
        <f>+'Terrace - BW'!N86</f>
        <v>736.67949166799997</v>
      </c>
      <c r="G10" s="66">
        <f>+'Terrace - BW'!Q86</f>
        <v>229.52103544413902</v>
      </c>
      <c r="H10" s="83">
        <f>+'Terrace - BW'!Y87</f>
        <v>8.9224589999999999</v>
      </c>
      <c r="I10" s="66">
        <f>+'Terrace - BW'!AE87</f>
        <v>2.9801013060000003</v>
      </c>
      <c r="J10" s="66">
        <f t="shared" si="8"/>
        <v>217.61847513813902</v>
      </c>
      <c r="K10" s="311">
        <f>+'Terrace - BW'!AJ88</f>
        <v>3508.7340928872936</v>
      </c>
      <c r="L10" s="66">
        <f t="shared" si="9"/>
        <v>1367.8046335618446</v>
      </c>
      <c r="M10" s="610">
        <f>+'Terrace - BW'!AB88</f>
        <v>44.598917999999998</v>
      </c>
      <c r="N10" s="67"/>
      <c r="O10" s="66">
        <f>+'Terrace - BW'!L86</f>
        <v>490.92946800000004</v>
      </c>
      <c r="P10" s="66">
        <f>+'Terrace - BW'!O86</f>
        <v>0</v>
      </c>
      <c r="Q10" s="66">
        <f>+'Terrace - BW'!R86</f>
        <v>0</v>
      </c>
      <c r="R10" s="66">
        <v>0</v>
      </c>
      <c r="S10" s="66">
        <v>0</v>
      </c>
      <c r="T10" s="66">
        <f t="shared" ref="T10" si="10">+Q10-R10-S10</f>
        <v>0</v>
      </c>
      <c r="U10" s="311">
        <f>+'Terrace - BW'!AK88</f>
        <v>81.862488789000011</v>
      </c>
      <c r="V10" s="66">
        <f t="shared" si="3"/>
        <v>409.06697921100005</v>
      </c>
      <c r="W10" s="65"/>
      <c r="Y10" s="589">
        <f t="shared" ref="Y10" si="11">+U10+V10</f>
        <v>490.92946800000004</v>
      </c>
      <c r="Z10" s="589">
        <f t="shared" ref="Z10" si="12">+K10+L10</f>
        <v>4876.5387264491383</v>
      </c>
      <c r="AA10" s="589">
        <f t="shared" si="6"/>
        <v>7311.1525134169988</v>
      </c>
      <c r="AB10" s="589">
        <f>+'Terrace - BW'!AD87+'Terrace - BW'!AE87</f>
        <v>2.9801013060000003</v>
      </c>
      <c r="AC10" s="589">
        <f>+'Terrace - BW'!Y87+'Terrace - BW'!Z87</f>
        <v>8.9224589999999999</v>
      </c>
    </row>
    <row r="11" spans="2:29" ht="19.649999999999999" customHeight="1" x14ac:dyDescent="0.3">
      <c r="B11" s="65"/>
      <c r="C11" s="159"/>
      <c r="D11" s="65"/>
      <c r="E11" s="84"/>
      <c r="F11" s="84"/>
      <c r="G11" s="84"/>
      <c r="H11" s="84"/>
      <c r="I11" s="84"/>
      <c r="J11" s="84"/>
      <c r="K11" s="309"/>
      <c r="L11" s="84"/>
      <c r="M11" s="609"/>
      <c r="N11" s="85"/>
      <c r="O11" s="84"/>
      <c r="P11" s="84"/>
      <c r="Q11" s="84"/>
      <c r="R11" s="84"/>
      <c r="S11" s="84"/>
      <c r="T11" s="84"/>
      <c r="U11" s="309"/>
      <c r="V11" s="84"/>
      <c r="W11" s="65"/>
    </row>
    <row r="12" spans="2:29" s="136" customFormat="1" ht="19.649999999999999" customHeight="1" x14ac:dyDescent="0.3">
      <c r="B12" s="160"/>
      <c r="C12" s="161" t="s">
        <v>10</v>
      </c>
      <c r="D12" s="160"/>
      <c r="E12" s="162">
        <f t="shared" ref="E12:M12" si="13">SUM(E5:E10)</f>
        <v>16558.724521982</v>
      </c>
      <c r="F12" s="162">
        <f t="shared" si="13"/>
        <v>14565.903912300006</v>
      </c>
      <c r="G12" s="162">
        <f t="shared" si="13"/>
        <v>13084.287264455799</v>
      </c>
      <c r="H12" s="162">
        <f t="shared" si="13"/>
        <v>608.31686909799998</v>
      </c>
      <c r="I12" s="162">
        <f t="shared" si="13"/>
        <v>140.32975581299999</v>
      </c>
      <c r="J12" s="162">
        <f t="shared" si="13"/>
        <v>12335.640639544801</v>
      </c>
      <c r="K12" s="162">
        <f t="shared" si="13"/>
        <v>11127.021116108961</v>
      </c>
      <c r="L12" s="162">
        <f t="shared" si="13"/>
        <v>32333.247957717849</v>
      </c>
      <c r="M12" s="162">
        <f t="shared" si="13"/>
        <v>2921.862625196</v>
      </c>
      <c r="N12" s="165"/>
      <c r="O12" s="162">
        <f t="shared" ref="O12:V12" si="14">SUM(O5:O11)</f>
        <v>976.15780500000005</v>
      </c>
      <c r="P12" s="162">
        <f t="shared" si="14"/>
        <v>646.97111600000005</v>
      </c>
      <c r="Q12" s="162">
        <f t="shared" si="14"/>
        <v>549.99235669000007</v>
      </c>
      <c r="R12" s="162">
        <f t="shared" si="14"/>
        <v>7.2311454545454552</v>
      </c>
      <c r="S12" s="162">
        <f t="shared" si="14"/>
        <v>0</v>
      </c>
      <c r="T12" s="162">
        <f t="shared" si="14"/>
        <v>542.76121123545454</v>
      </c>
      <c r="U12" s="162">
        <f t="shared" si="14"/>
        <v>257.12804238200005</v>
      </c>
      <c r="V12" s="162">
        <f t="shared" si="14"/>
        <v>1908.7620898534547</v>
      </c>
      <c r="W12" s="160"/>
      <c r="Y12" s="162">
        <f>SUM(Y5:Y11)</f>
        <v>2165.890132235455</v>
      </c>
      <c r="AA12" s="162">
        <f>SUM(AA5:AA11)</f>
        <v>65157.824698391014</v>
      </c>
      <c r="AB12" s="162">
        <f>SUM(AB5:AB11)</f>
        <v>140.32975581299999</v>
      </c>
      <c r="AC12" s="162">
        <f>SUM(AC5:AC11)</f>
        <v>610.70314709799993</v>
      </c>
    </row>
    <row r="13" spans="2:29" ht="19.649999999999999" customHeight="1" x14ac:dyDescent="0.3">
      <c r="B13" s="65"/>
      <c r="C13" s="65"/>
      <c r="D13" s="65"/>
      <c r="E13" s="84"/>
      <c r="F13" s="84"/>
      <c r="G13" s="84"/>
      <c r="H13" s="84"/>
      <c r="I13" s="84"/>
      <c r="J13" s="84"/>
      <c r="K13" s="309"/>
      <c r="L13" s="84"/>
      <c r="M13" s="609"/>
      <c r="N13" s="85"/>
      <c r="O13" s="84"/>
      <c r="P13" s="84"/>
      <c r="Q13" s="84"/>
      <c r="R13" s="84"/>
      <c r="S13" s="84"/>
      <c r="T13" s="84"/>
      <c r="U13" s="309"/>
      <c r="V13" s="84"/>
      <c r="W13" s="65"/>
      <c r="Y13" s="589">
        <f>+'Budget R0'!M29</f>
        <v>2165.890132235455</v>
      </c>
    </row>
    <row r="14" spans="2:29" ht="19.649999999999999" customHeight="1" x14ac:dyDescent="0.3">
      <c r="B14" s="65"/>
      <c r="C14" s="65"/>
      <c r="D14" s="65"/>
      <c r="E14" s="65"/>
      <c r="F14" s="65"/>
      <c r="G14" s="65"/>
      <c r="H14" s="65"/>
      <c r="I14" s="65"/>
      <c r="J14" s="84"/>
      <c r="K14" s="309"/>
      <c r="L14" s="84"/>
      <c r="M14" s="609"/>
      <c r="N14" s="85"/>
      <c r="O14" s="65"/>
      <c r="P14" s="65"/>
      <c r="Q14" s="65"/>
      <c r="R14" s="65"/>
      <c r="S14" s="65"/>
      <c r="T14" s="84"/>
      <c r="U14" s="309"/>
      <c r="V14" s="84"/>
      <c r="W14" s="65"/>
    </row>
    <row r="15" spans="2:29" ht="19.649999999999999" customHeight="1" x14ac:dyDescent="0.3">
      <c r="J15" s="137"/>
      <c r="K15" s="137"/>
      <c r="L15" s="137"/>
      <c r="M15" s="137"/>
      <c r="N15" s="137"/>
      <c r="T15" s="137"/>
      <c r="U15" s="137"/>
      <c r="V15" s="137"/>
    </row>
    <row r="16" spans="2:29" ht="19.649999999999999" customHeight="1" x14ac:dyDescent="0.3">
      <c r="J16" s="137"/>
      <c r="K16" s="137">
        <f>+K12+L12</f>
        <v>43460.269073826814</v>
      </c>
      <c r="L16" s="137"/>
      <c r="M16" s="137"/>
      <c r="N16" s="137"/>
      <c r="T16" s="137"/>
      <c r="U16" s="137"/>
      <c r="V16" s="137"/>
    </row>
    <row r="17" spans="8:22" x14ac:dyDescent="0.3">
      <c r="J17" s="137"/>
      <c r="K17" s="137"/>
      <c r="L17" s="137"/>
      <c r="M17" s="137"/>
      <c r="N17" s="137"/>
      <c r="T17" s="137"/>
      <c r="U17" s="137"/>
      <c r="V17" s="137"/>
    </row>
    <row r="18" spans="8:22" x14ac:dyDescent="0.3">
      <c r="J18" s="137"/>
      <c r="K18" s="137"/>
      <c r="L18" s="137">
        <f>+L12+M12+U12+V12</f>
        <v>37421.000715149297</v>
      </c>
      <c r="M18" s="137"/>
      <c r="N18" s="137"/>
      <c r="T18" s="137"/>
      <c r="U18" s="137"/>
      <c r="V18" s="137"/>
    </row>
    <row r="19" spans="8:22" x14ac:dyDescent="0.3">
      <c r="J19" s="137"/>
      <c r="K19" s="137"/>
      <c r="L19" s="137"/>
      <c r="M19" s="137"/>
      <c r="N19" s="137"/>
      <c r="T19" s="137"/>
      <c r="U19" s="137"/>
      <c r="V19" s="137"/>
    </row>
    <row r="20" spans="8:22" x14ac:dyDescent="0.3">
      <c r="H20" s="589">
        <f>+H5+R5</f>
        <v>7.7548755000000007</v>
      </c>
      <c r="J20" s="137"/>
      <c r="K20" s="137"/>
      <c r="L20" s="137">
        <f>+'Base Floor - BW'!S100</f>
        <v>2836.0497252045002</v>
      </c>
      <c r="M20" s="137">
        <f>+'Base Floor - BW'!T100</f>
        <v>283.49316450000003</v>
      </c>
      <c r="N20" s="137"/>
      <c r="T20" s="137"/>
      <c r="U20" s="137"/>
      <c r="V20" s="137"/>
    </row>
    <row r="21" spans="8:22" x14ac:dyDescent="0.3">
      <c r="H21" s="589">
        <f>+H6+R6*0.333</f>
        <v>159.96129302259089</v>
      </c>
      <c r="J21" s="137"/>
      <c r="K21" s="137"/>
      <c r="L21" s="137">
        <f>+'Ground Floor - BW'!S282</f>
        <v>9129.3002764924386</v>
      </c>
      <c r="M21" s="137">
        <f>+'Ground Floor - BW'!T282</f>
        <v>340.39189368800004</v>
      </c>
      <c r="N21" s="137"/>
      <c r="T21" s="137"/>
      <c r="U21" s="137"/>
      <c r="V21" s="137"/>
    </row>
    <row r="22" spans="8:22" x14ac:dyDescent="0.3">
      <c r="H22" s="589">
        <f t="shared" ref="H22:H25" si="15">+H7+R7*0.333</f>
        <v>145.04380067059091</v>
      </c>
      <c r="J22" s="137"/>
      <c r="K22" s="137"/>
      <c r="L22" s="137">
        <f>+'1st Floor - BW '!S285</f>
        <v>9297.9722028793913</v>
      </c>
      <c r="M22" s="137">
        <f>+'1st Floor - BW '!T285</f>
        <v>340.45641783400004</v>
      </c>
      <c r="N22" s="137"/>
      <c r="U22" s="137"/>
    </row>
    <row r="23" spans="8:22" x14ac:dyDescent="0.3">
      <c r="H23" s="589">
        <f t="shared" si="15"/>
        <v>144.52120617059089</v>
      </c>
      <c r="J23" s="137"/>
      <c r="K23" s="137"/>
      <c r="L23" s="137">
        <f>+'Typical 2,3 - BW'!S283</f>
        <v>9028.5761037031698</v>
      </c>
      <c r="M23" s="137">
        <f>+'Typical 2,3 - BW'!T283</f>
        <v>358.92516683400004</v>
      </c>
      <c r="N23" s="137"/>
      <c r="U23" s="137"/>
    </row>
    <row r="24" spans="8:22" x14ac:dyDescent="0.3">
      <c r="H24" s="589">
        <f t="shared" si="15"/>
        <v>144.52120617059089</v>
      </c>
      <c r="J24" s="137"/>
      <c r="K24" s="137"/>
      <c r="L24" s="137">
        <f>+L23</f>
        <v>9028.5761037031698</v>
      </c>
      <c r="M24" s="137">
        <f>+M23</f>
        <v>358.92516683400004</v>
      </c>
      <c r="N24" s="137"/>
      <c r="U24" s="137"/>
    </row>
    <row r="25" spans="8:22" x14ac:dyDescent="0.3">
      <c r="H25" s="589">
        <f t="shared" si="15"/>
        <v>8.9224589999999999</v>
      </c>
      <c r="J25" s="137"/>
      <c r="K25" s="137"/>
      <c r="L25" s="137">
        <f>+'Terrace - BW'!S86</f>
        <v>4888.4412867551382</v>
      </c>
      <c r="M25" s="137">
        <f>+'Terrace - BW'!T86</f>
        <v>490.92946800000004</v>
      </c>
      <c r="N25" s="137"/>
      <c r="U25" s="137"/>
    </row>
    <row r="26" spans="8:22" x14ac:dyDescent="0.3">
      <c r="H26" s="589">
        <f>SUM(H20:H25)</f>
        <v>610.72484053436358</v>
      </c>
      <c r="J26" s="137"/>
      <c r="K26" s="137"/>
      <c r="L26" s="137">
        <f>SUM(L20:L25)</f>
        <v>44208.915698737808</v>
      </c>
      <c r="M26" s="137">
        <f>SUM(M20:M25)</f>
        <v>2173.1212776900002</v>
      </c>
      <c r="N26" s="137"/>
      <c r="U26" s="137"/>
    </row>
    <row r="27" spans="8:22" x14ac:dyDescent="0.3">
      <c r="J27" s="137"/>
      <c r="K27" s="137"/>
      <c r="L27" s="137"/>
      <c r="M27" s="137"/>
      <c r="N27" s="137"/>
      <c r="U27" s="137"/>
    </row>
    <row r="28" spans="8:22" x14ac:dyDescent="0.3">
      <c r="J28" s="137"/>
      <c r="K28" s="137"/>
      <c r="L28" s="137">
        <f>+K12+L12</f>
        <v>43460.269073826814</v>
      </c>
      <c r="M28" s="137">
        <f>+U12+V12</f>
        <v>2165.8901322354545</v>
      </c>
      <c r="N28" s="137"/>
      <c r="U28" s="137"/>
    </row>
    <row r="29" spans="8:22" x14ac:dyDescent="0.3">
      <c r="J29" s="137"/>
      <c r="K29" s="137"/>
      <c r="L29" s="137">
        <f>+L26-L28</f>
        <v>748.64662491099443</v>
      </c>
      <c r="M29" s="137">
        <f>+M26-M28</f>
        <v>7.23114545454564</v>
      </c>
      <c r="N29" s="137"/>
      <c r="U29" s="137"/>
    </row>
    <row r="30" spans="8:22" x14ac:dyDescent="0.3">
      <c r="J30" s="137"/>
      <c r="K30" s="137"/>
      <c r="L30" s="137">
        <f>+H12+I12</f>
        <v>748.646624911</v>
      </c>
      <c r="M30" s="137">
        <f>+R12</f>
        <v>7.2311454545454552</v>
      </c>
      <c r="N30" s="137"/>
      <c r="U30" s="137"/>
    </row>
    <row r="38" spans="2:23" x14ac:dyDescent="0.3">
      <c r="B38" s="729" t="s">
        <v>565</v>
      </c>
      <c r="C38" s="729"/>
      <c r="D38" s="729"/>
      <c r="E38" s="729"/>
    </row>
    <row r="39" spans="2:23" x14ac:dyDescent="0.3">
      <c r="B39" s="727" t="s">
        <v>0</v>
      </c>
      <c r="C39" s="727" t="s">
        <v>1</v>
      </c>
      <c r="D39" s="727" t="s">
        <v>50</v>
      </c>
      <c r="E39" s="727" t="s">
        <v>81</v>
      </c>
      <c r="F39" s="727"/>
      <c r="G39" s="727"/>
      <c r="H39" s="727"/>
      <c r="I39" s="727"/>
      <c r="J39" s="727"/>
      <c r="K39" s="728"/>
      <c r="L39" s="727"/>
      <c r="M39" s="611"/>
      <c r="N39" s="163"/>
      <c r="O39" s="727" t="s">
        <v>82</v>
      </c>
      <c r="P39" s="727"/>
      <c r="Q39" s="727"/>
      <c r="R39" s="727"/>
      <c r="S39" s="727"/>
      <c r="T39" s="727"/>
      <c r="U39" s="728"/>
      <c r="V39" s="727"/>
      <c r="W39" s="727" t="s">
        <v>11</v>
      </c>
    </row>
    <row r="40" spans="2:23" ht="43.2" x14ac:dyDescent="0.3">
      <c r="B40" s="727"/>
      <c r="C40" s="727"/>
      <c r="D40" s="727"/>
      <c r="E40" s="608" t="s">
        <v>83</v>
      </c>
      <c r="F40" s="608" t="s">
        <v>26</v>
      </c>
      <c r="G40" s="82" t="s">
        <v>27</v>
      </c>
      <c r="H40" s="82" t="s">
        <v>84</v>
      </c>
      <c r="I40" s="82" t="s">
        <v>85</v>
      </c>
      <c r="J40" s="608" t="s">
        <v>86</v>
      </c>
      <c r="K40" s="366" t="s">
        <v>318</v>
      </c>
      <c r="L40" s="82" t="s">
        <v>317</v>
      </c>
      <c r="M40" s="82" t="s">
        <v>511</v>
      </c>
      <c r="N40" s="163"/>
      <c r="O40" s="608" t="s">
        <v>83</v>
      </c>
      <c r="P40" s="608" t="s">
        <v>26</v>
      </c>
      <c r="Q40" s="82" t="s">
        <v>27</v>
      </c>
      <c r="R40" s="82" t="s">
        <v>87</v>
      </c>
      <c r="S40" s="82" t="s">
        <v>88</v>
      </c>
      <c r="T40" s="608" t="s">
        <v>86</v>
      </c>
      <c r="U40" s="366" t="s">
        <v>316</v>
      </c>
      <c r="V40" s="82" t="s">
        <v>315</v>
      </c>
      <c r="W40" s="727"/>
    </row>
    <row r="41" spans="2:23" ht="33.75" customHeight="1" x14ac:dyDescent="0.3">
      <c r="B41" s="65">
        <f>1</f>
        <v>1</v>
      </c>
      <c r="C41" s="164" t="s">
        <v>99</v>
      </c>
      <c r="D41" s="66" t="s">
        <v>65</v>
      </c>
      <c r="E41" s="66">
        <v>798.79417148700031</v>
      </c>
      <c r="F41" s="66">
        <v>1065.058895316</v>
      </c>
      <c r="G41" s="66">
        <v>972.19665840149992</v>
      </c>
      <c r="H41" s="66">
        <v>7.7548755000000007</v>
      </c>
      <c r="I41" s="66">
        <v>0</v>
      </c>
      <c r="J41" s="66">
        <v>964.44178290149989</v>
      </c>
      <c r="K41" s="311">
        <v>1128.8674475339431</v>
      </c>
      <c r="L41" s="66">
        <v>1699.4274021705569</v>
      </c>
      <c r="M41" s="610">
        <v>34.758750000000006</v>
      </c>
      <c r="N41" s="67"/>
      <c r="O41" s="66">
        <v>80.998047000000014</v>
      </c>
      <c r="P41" s="66">
        <v>107.99739600000001</v>
      </c>
      <c r="Q41" s="66">
        <v>94.497721500000011</v>
      </c>
      <c r="R41" s="66">
        <v>0</v>
      </c>
      <c r="S41" s="66">
        <v>0</v>
      </c>
      <c r="T41" s="66">
        <v>94.497721500000011</v>
      </c>
      <c r="U41" s="311">
        <v>18.008565783000002</v>
      </c>
      <c r="V41" s="66">
        <v>265.48459871700004</v>
      </c>
      <c r="W41" s="65"/>
    </row>
    <row r="42" spans="2:23" ht="20.100000000000001" customHeight="1" x14ac:dyDescent="0.3">
      <c r="B42" s="65">
        <f>+B41+1</f>
        <v>2</v>
      </c>
      <c r="C42" s="164" t="s">
        <v>89</v>
      </c>
      <c r="D42" s="66" t="s">
        <v>65</v>
      </c>
      <c r="E42" s="66">
        <v>5697.9867455880012</v>
      </c>
      <c r="F42" s="66">
        <v>6819.371883284005</v>
      </c>
      <c r="G42" s="66">
        <v>5609.2484757912525</v>
      </c>
      <c r="H42" s="66">
        <v>187.96492916349999</v>
      </c>
      <c r="I42" s="66">
        <v>39.211155779999999</v>
      </c>
      <c r="J42" s="66">
        <v>5382.072390847753</v>
      </c>
      <c r="K42" s="311">
        <v>2307.5388156394142</v>
      </c>
      <c r="L42" s="66">
        <v>15591.892204080345</v>
      </c>
      <c r="M42" s="610">
        <v>1030.4554113269996</v>
      </c>
      <c r="N42" s="67"/>
      <c r="O42" s="66">
        <v>3636.7818149999998</v>
      </c>
      <c r="P42" s="66">
        <v>1655.8213400000006</v>
      </c>
      <c r="Q42" s="66">
        <v>1406.2051188050004</v>
      </c>
      <c r="R42" s="66">
        <v>52.92984545454545</v>
      </c>
      <c r="S42" s="66">
        <v>0</v>
      </c>
      <c r="T42" s="66">
        <v>1353.2752733504549</v>
      </c>
      <c r="U42" s="311">
        <v>2528.8857538550001</v>
      </c>
      <c r="V42" s="66">
        <v>4116.9926744954555</v>
      </c>
      <c r="W42" s="65"/>
    </row>
    <row r="43" spans="2:23" ht="20.100000000000001" customHeight="1" x14ac:dyDescent="0.3">
      <c r="B43" s="65">
        <f t="shared" ref="B43:B46" si="16">1+B42</f>
        <v>3</v>
      </c>
      <c r="C43" s="164" t="s">
        <v>90</v>
      </c>
      <c r="D43" s="66" t="s">
        <v>65</v>
      </c>
      <c r="E43" s="66">
        <v>5819.2031975250011</v>
      </c>
      <c r="F43" s="66">
        <v>6906.2033093000045</v>
      </c>
      <c r="G43" s="66">
        <v>5649.7832866867266</v>
      </c>
      <c r="H43" s="66">
        <v>186.76183224900001</v>
      </c>
      <c r="I43" s="66">
        <v>42.773210364557009</v>
      </c>
      <c r="J43" s="66">
        <v>5420.2482440731701</v>
      </c>
      <c r="K43" s="311">
        <v>2316.3297373876567</v>
      </c>
      <c r="L43" s="66">
        <v>15829.325013510519</v>
      </c>
      <c r="M43" s="610">
        <v>1030.776564498</v>
      </c>
      <c r="N43" s="67"/>
      <c r="O43" s="66">
        <v>3598.9063169999999</v>
      </c>
      <c r="P43" s="66">
        <v>1620.7683760000004</v>
      </c>
      <c r="Q43" s="66">
        <v>1387.2803501770004</v>
      </c>
      <c r="R43" s="66">
        <v>54.35922272727273</v>
      </c>
      <c r="S43" s="66">
        <v>0</v>
      </c>
      <c r="T43" s="66">
        <v>1332.9211274497277</v>
      </c>
      <c r="U43" s="311">
        <v>2497.879534833</v>
      </c>
      <c r="V43" s="66">
        <v>4054.7162856167283</v>
      </c>
      <c r="W43" s="65"/>
    </row>
    <row r="44" spans="2:23" ht="20.100000000000001" customHeight="1" x14ac:dyDescent="0.3">
      <c r="B44" s="65">
        <f t="shared" si="16"/>
        <v>4</v>
      </c>
      <c r="C44" s="164" t="s">
        <v>36</v>
      </c>
      <c r="D44" s="66" t="s">
        <v>65</v>
      </c>
      <c r="E44" s="66">
        <v>5819.2031975250011</v>
      </c>
      <c r="F44" s="66">
        <v>6906.2033093000045</v>
      </c>
      <c r="G44" s="66">
        <v>5729.6871333107274</v>
      </c>
      <c r="H44" s="66">
        <v>186.76183224900001</v>
      </c>
      <c r="I44" s="66">
        <v>42.773210364557009</v>
      </c>
      <c r="J44" s="66">
        <v>5500.1520906971709</v>
      </c>
      <c r="K44" s="311">
        <v>2330.6800956476563</v>
      </c>
      <c r="L44" s="66">
        <v>15894.87850187452</v>
      </c>
      <c r="M44" s="610">
        <v>1030.776564498</v>
      </c>
      <c r="N44" s="67"/>
      <c r="O44" s="66">
        <v>3598.9063169999999</v>
      </c>
      <c r="P44" s="66">
        <v>1620.7683760000004</v>
      </c>
      <c r="Q44" s="66">
        <v>1405.7490991770003</v>
      </c>
      <c r="R44" s="66">
        <v>54.35922272727273</v>
      </c>
      <c r="S44" s="66">
        <v>0</v>
      </c>
      <c r="T44" s="66">
        <v>1351.3898764497276</v>
      </c>
      <c r="U44" s="311">
        <v>2497.879534833</v>
      </c>
      <c r="V44" s="66">
        <v>4073.185034616728</v>
      </c>
      <c r="W44" s="65"/>
    </row>
    <row r="45" spans="2:23" ht="20.100000000000001" customHeight="1" x14ac:dyDescent="0.3">
      <c r="B45" s="65">
        <f t="shared" si="16"/>
        <v>5</v>
      </c>
      <c r="C45" s="164" t="s">
        <v>91</v>
      </c>
      <c r="D45" s="66" t="s">
        <v>65</v>
      </c>
      <c r="E45" s="66">
        <v>5819.2031975250011</v>
      </c>
      <c r="F45" s="66">
        <v>6906.2033093000045</v>
      </c>
      <c r="G45" s="66">
        <v>5729.6871333107274</v>
      </c>
      <c r="H45" s="66">
        <v>186.76183224900001</v>
      </c>
      <c r="I45" s="66">
        <v>42.773210364557009</v>
      </c>
      <c r="J45" s="66">
        <v>5500.1520906971709</v>
      </c>
      <c r="K45" s="311">
        <v>2330.6800956476563</v>
      </c>
      <c r="L45" s="66">
        <v>15894.87850187452</v>
      </c>
      <c r="M45" s="610">
        <v>1030.776564498</v>
      </c>
      <c r="N45" s="67"/>
      <c r="O45" s="66">
        <v>3598.9063169999999</v>
      </c>
      <c r="P45" s="66">
        <v>1620.7683760000004</v>
      </c>
      <c r="Q45" s="66">
        <v>1405.7490991770003</v>
      </c>
      <c r="R45" s="66">
        <v>54.35922272727273</v>
      </c>
      <c r="S45" s="66">
        <v>0</v>
      </c>
      <c r="T45" s="66">
        <v>1351.3898764497276</v>
      </c>
      <c r="U45" s="311">
        <v>2497.879534833</v>
      </c>
      <c r="V45" s="66">
        <v>4073.185034616728</v>
      </c>
      <c r="W45" s="65"/>
    </row>
    <row r="46" spans="2:23" ht="20.100000000000001" customHeight="1" x14ac:dyDescent="0.3">
      <c r="B46" s="65">
        <f t="shared" si="16"/>
        <v>6</v>
      </c>
      <c r="C46" s="164" t="s">
        <v>92</v>
      </c>
      <c r="D46" s="66" t="s">
        <v>65</v>
      </c>
      <c r="E46" s="66">
        <v>3922.2407596429994</v>
      </c>
      <c r="F46" s="66">
        <v>736.67949166799997</v>
      </c>
      <c r="G46" s="66">
        <v>229.52103544413902</v>
      </c>
      <c r="H46" s="83">
        <v>8.9224589999999999</v>
      </c>
      <c r="I46" s="66">
        <v>2.9801013060000003</v>
      </c>
      <c r="J46" s="66">
        <v>217.61847513813902</v>
      </c>
      <c r="K46" s="311">
        <v>3508.7340928872936</v>
      </c>
      <c r="L46" s="66">
        <v>1367.8046335618446</v>
      </c>
      <c r="M46" s="610">
        <v>44.598917999999998</v>
      </c>
      <c r="N46" s="67"/>
      <c r="O46" s="66">
        <v>490.92946800000004</v>
      </c>
      <c r="P46" s="66">
        <v>0</v>
      </c>
      <c r="Q46" s="66">
        <v>0</v>
      </c>
      <c r="R46" s="66">
        <v>0</v>
      </c>
      <c r="S46" s="66">
        <v>0</v>
      </c>
      <c r="T46" s="66">
        <v>0</v>
      </c>
      <c r="U46" s="311">
        <v>81.862488789000011</v>
      </c>
      <c r="V46" s="66">
        <v>409.06697921100005</v>
      </c>
      <c r="W46" s="65"/>
    </row>
    <row r="47" spans="2:23" ht="20.100000000000001" customHeight="1" x14ac:dyDescent="0.3">
      <c r="B47" s="65"/>
      <c r="C47" s="159"/>
      <c r="D47" s="65"/>
      <c r="E47" s="84"/>
      <c r="F47" s="84"/>
      <c r="G47" s="84"/>
      <c r="H47" s="84"/>
      <c r="I47" s="84"/>
      <c r="J47" s="84"/>
      <c r="K47" s="309"/>
      <c r="L47" s="84"/>
      <c r="M47" s="609"/>
      <c r="N47" s="85"/>
      <c r="O47" s="84"/>
      <c r="P47" s="84"/>
      <c r="Q47" s="84"/>
      <c r="R47" s="84"/>
      <c r="S47" s="84"/>
      <c r="T47" s="84"/>
      <c r="U47" s="309"/>
      <c r="V47" s="84"/>
      <c r="W47" s="65"/>
    </row>
    <row r="48" spans="2:23" ht="20.100000000000001" customHeight="1" x14ac:dyDescent="0.3">
      <c r="B48" s="160"/>
      <c r="C48" s="161" t="s">
        <v>10</v>
      </c>
      <c r="D48" s="160"/>
      <c r="E48" s="162">
        <f t="shared" ref="E48:M48" si="17">SUM(E41:E47)</f>
        <v>27876.631269293001</v>
      </c>
      <c r="F48" s="162">
        <f t="shared" si="17"/>
        <v>29339.720198168019</v>
      </c>
      <c r="G48" s="162">
        <f t="shared" si="17"/>
        <v>23920.123722945074</v>
      </c>
      <c r="H48" s="162">
        <f t="shared" si="17"/>
        <v>764.92776041050001</v>
      </c>
      <c r="I48" s="162">
        <f t="shared" si="17"/>
        <v>170.51088817967101</v>
      </c>
      <c r="J48" s="162">
        <f t="shared" si="17"/>
        <v>22984.685074354904</v>
      </c>
      <c r="K48" s="162">
        <f t="shared" si="17"/>
        <v>13922.830284743621</v>
      </c>
      <c r="L48" s="162">
        <f t="shared" si="17"/>
        <v>66278.206257072306</v>
      </c>
      <c r="M48" s="162">
        <f t="shared" si="17"/>
        <v>4202.1427728209992</v>
      </c>
      <c r="N48" s="165"/>
      <c r="O48" s="162">
        <f t="shared" ref="O48:V48" si="18">SUM(O41:O47)</f>
        <v>15005.428281000002</v>
      </c>
      <c r="P48" s="162">
        <f t="shared" si="18"/>
        <v>6626.123864000001</v>
      </c>
      <c r="Q48" s="162">
        <f t="shared" si="18"/>
        <v>5699.4813888360013</v>
      </c>
      <c r="R48" s="162">
        <f t="shared" si="18"/>
        <v>216.00751363636365</v>
      </c>
      <c r="S48" s="162">
        <f t="shared" si="18"/>
        <v>0</v>
      </c>
      <c r="T48" s="162">
        <f t="shared" si="18"/>
        <v>5483.4738751996374</v>
      </c>
      <c r="U48" s="162">
        <f t="shared" si="18"/>
        <v>10122.395412926</v>
      </c>
      <c r="V48" s="162">
        <f t="shared" si="18"/>
        <v>16992.630607273637</v>
      </c>
      <c r="W48" s="160"/>
    </row>
    <row r="49" spans="2:23" ht="20.100000000000001" customHeight="1" x14ac:dyDescent="0.3">
      <c r="B49" s="65"/>
      <c r="C49" s="65"/>
      <c r="D49" s="65"/>
      <c r="E49" s="84"/>
      <c r="F49" s="84"/>
      <c r="G49" s="84"/>
      <c r="H49" s="84"/>
      <c r="I49" s="84"/>
      <c r="J49" s="84"/>
      <c r="K49" s="309"/>
      <c r="L49" s="84"/>
      <c r="M49" s="609"/>
      <c r="N49" s="85"/>
      <c r="O49" s="84"/>
      <c r="P49" s="84"/>
      <c r="Q49" s="84"/>
      <c r="R49" s="84"/>
      <c r="S49" s="84"/>
      <c r="T49" s="84"/>
      <c r="U49" s="309"/>
      <c r="V49" s="84"/>
      <c r="W49" s="65"/>
    </row>
    <row r="50" spans="2:23" ht="20.100000000000001" customHeight="1" x14ac:dyDescent="0.3">
      <c r="B50" s="65"/>
      <c r="C50" s="65"/>
      <c r="D50" s="65"/>
      <c r="E50" s="65"/>
      <c r="F50" s="65"/>
      <c r="G50" s="65"/>
      <c r="H50" s="65"/>
      <c r="I50" s="65"/>
      <c r="J50" s="84"/>
      <c r="K50" s="309"/>
      <c r="L50" s="84"/>
      <c r="M50" s="609"/>
      <c r="N50" s="85"/>
      <c r="O50" s="65"/>
      <c r="P50" s="65"/>
      <c r="Q50" s="65"/>
      <c r="R50" s="65"/>
      <c r="S50" s="65"/>
      <c r="T50" s="84"/>
      <c r="U50" s="309"/>
      <c r="V50" s="84"/>
      <c r="W50" s="65"/>
    </row>
  </sheetData>
  <mergeCells count="14">
    <mergeCell ref="W39:W40"/>
    <mergeCell ref="B38:E38"/>
    <mergeCell ref="B39:B40"/>
    <mergeCell ref="C39:C40"/>
    <mergeCell ref="D39:D40"/>
    <mergeCell ref="E39:L39"/>
    <mergeCell ref="O39:V39"/>
    <mergeCell ref="B2:D2"/>
    <mergeCell ref="W3:W4"/>
    <mergeCell ref="B3:B4"/>
    <mergeCell ref="C3:C4"/>
    <mergeCell ref="D3:D4"/>
    <mergeCell ref="E3:L3"/>
    <mergeCell ref="O3:V3"/>
  </mergeCells>
  <pageMargins left="0.7" right="0.7" top="0.75" bottom="0.75" header="0.3" footer="0.3"/>
  <pageSetup orientation="portrait" verticalDpi="0" r:id="rId1"/>
  <ignoredErrors>
    <ignoredError sqref="J9 T11:V11 L9 T9:U9 T10:U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C1:AE75"/>
  <sheetViews>
    <sheetView showGridLines="0" topLeftCell="B40" zoomScale="85" zoomScaleNormal="85" workbookViewId="0">
      <selection activeCell="G65" sqref="G65"/>
    </sheetView>
  </sheetViews>
  <sheetFormatPr defaultColWidth="9.109375" defaultRowHeight="19.5" customHeight="1" x14ac:dyDescent="0.3"/>
  <cols>
    <col min="1" max="2" width="0.44140625" style="265" customWidth="1"/>
    <col min="3" max="3" width="4.109375" style="265" customWidth="1"/>
    <col min="4" max="4" width="28.88671875" style="265" customWidth="1"/>
    <col min="5" max="5" width="6.88671875" style="272" customWidth="1"/>
    <col min="6" max="6" width="10.33203125" style="272" bestFit="1" customWidth="1"/>
    <col min="7" max="7" width="10.33203125" style="287" bestFit="1" customWidth="1"/>
    <col min="8" max="8" width="16.6640625" style="287" bestFit="1" customWidth="1"/>
    <col min="9" max="9" width="8.6640625" style="287" customWidth="1"/>
    <col min="10" max="10" width="9.6640625" style="287" customWidth="1"/>
    <col min="11" max="11" width="11.88671875" style="295" customWidth="1"/>
    <col min="12" max="12" width="0.88671875" style="295" customWidth="1"/>
    <col min="13" max="13" width="3.88671875" style="265" customWidth="1"/>
    <col min="14" max="14" width="29" style="265" customWidth="1"/>
    <col min="15" max="15" width="5.5546875" style="272" bestFit="1" customWidth="1"/>
    <col min="16" max="16" width="11.6640625" style="272" bestFit="1" customWidth="1"/>
    <col min="17" max="17" width="9.33203125" style="287" bestFit="1" customWidth="1"/>
    <col min="18" max="18" width="14.44140625" style="287" bestFit="1" customWidth="1"/>
    <col min="19" max="20" width="9.6640625" style="287" customWidth="1"/>
    <col min="21" max="21" width="15.5546875" style="295" customWidth="1"/>
    <col min="22" max="22" width="0.88671875" style="265" customWidth="1"/>
    <col min="23" max="23" width="4.5546875" style="265" customWidth="1"/>
    <col min="24" max="24" width="25.33203125" style="265" customWidth="1"/>
    <col min="25" max="25" width="5.5546875" style="265" bestFit="1" customWidth="1"/>
    <col min="26" max="26" width="10.33203125" style="265" bestFit="1" customWidth="1"/>
    <col min="27" max="27" width="9.33203125" style="265" bestFit="1" customWidth="1"/>
    <col min="28" max="28" width="14.44140625" style="265" bestFit="1" customWidth="1"/>
    <col min="29" max="30" width="9.109375" style="265"/>
    <col min="31" max="31" width="20.109375" style="265" bestFit="1" customWidth="1"/>
    <col min="32" max="16384" width="9.109375" style="265"/>
  </cols>
  <sheetData>
    <row r="1" spans="3:31" ht="3" customHeight="1" x14ac:dyDescent="0.3">
      <c r="C1" s="718"/>
      <c r="D1" s="718"/>
      <c r="E1" s="718"/>
      <c r="F1" s="718"/>
      <c r="G1" s="718"/>
      <c r="H1" s="718"/>
      <c r="I1" s="718"/>
      <c r="J1" s="718"/>
      <c r="K1" s="718"/>
      <c r="L1" s="554"/>
      <c r="M1" s="718"/>
      <c r="N1" s="718"/>
      <c r="O1" s="718"/>
      <c r="P1" s="718"/>
      <c r="Q1" s="718"/>
      <c r="R1" s="718"/>
      <c r="S1" s="718"/>
      <c r="T1" s="718"/>
      <c r="U1" s="718"/>
    </row>
    <row r="2" spans="3:31" ht="20.100000000000001" customHeight="1" x14ac:dyDescent="0.3">
      <c r="C2" s="744" t="s">
        <v>488</v>
      </c>
      <c r="D2" s="744"/>
      <c r="E2" s="744"/>
      <c r="F2" s="744"/>
      <c r="G2" s="744"/>
      <c r="H2" s="744"/>
      <c r="I2" s="744"/>
      <c r="J2" s="744"/>
      <c r="K2" s="744"/>
      <c r="L2" s="554"/>
      <c r="M2" s="746" t="s">
        <v>158</v>
      </c>
      <c r="N2" s="746"/>
      <c r="O2" s="746"/>
      <c r="P2" s="746"/>
      <c r="Q2" s="746"/>
      <c r="R2" s="746"/>
      <c r="S2" s="746"/>
      <c r="T2" s="746"/>
      <c r="U2" s="746"/>
      <c r="W2" s="746" t="s">
        <v>487</v>
      </c>
      <c r="X2" s="746"/>
      <c r="Y2" s="746"/>
      <c r="Z2" s="746"/>
      <c r="AA2" s="746"/>
      <c r="AB2" s="746"/>
      <c r="AC2" s="746"/>
      <c r="AD2" s="746"/>
      <c r="AE2" s="746"/>
    </row>
    <row r="3" spans="3:31" ht="20.100000000000001" customHeight="1" x14ac:dyDescent="0.3">
      <c r="C3" s="741" t="s">
        <v>455</v>
      </c>
      <c r="D3" s="741"/>
      <c r="E3" s="731" t="s">
        <v>159</v>
      </c>
      <c r="F3" s="731"/>
      <c r="G3" s="731"/>
      <c r="H3" s="731"/>
      <c r="I3" s="731"/>
      <c r="J3" s="731"/>
      <c r="K3" s="614" t="s">
        <v>524</v>
      </c>
      <c r="L3" s="554"/>
      <c r="M3" s="747" t="s">
        <v>196</v>
      </c>
      <c r="N3" s="747"/>
      <c r="O3" s="748" t="s">
        <v>159</v>
      </c>
      <c r="P3" s="748"/>
      <c r="Q3" s="748"/>
      <c r="R3" s="748"/>
      <c r="S3" s="748"/>
      <c r="T3" s="748"/>
      <c r="U3" s="565" t="s">
        <v>160</v>
      </c>
      <c r="W3" s="747" t="s">
        <v>494</v>
      </c>
      <c r="X3" s="747"/>
      <c r="Y3" s="748" t="s">
        <v>159</v>
      </c>
      <c r="Z3" s="748"/>
      <c r="AA3" s="748"/>
      <c r="AB3" s="748"/>
      <c r="AC3" s="748"/>
      <c r="AD3" s="748"/>
      <c r="AE3" s="519" t="s">
        <v>160</v>
      </c>
    </row>
    <row r="4" spans="3:31" ht="27.75" customHeight="1" x14ac:dyDescent="0.3">
      <c r="C4" s="741" t="s">
        <v>197</v>
      </c>
      <c r="D4" s="741"/>
      <c r="E4" s="742" t="s">
        <v>161</v>
      </c>
      <c r="F4" s="742"/>
      <c r="G4" s="742"/>
      <c r="H4" s="595">
        <f>+'Budget R0'!G4</f>
        <v>204317</v>
      </c>
      <c r="I4" s="649" t="s">
        <v>103</v>
      </c>
      <c r="J4" s="594"/>
      <c r="K4" s="647"/>
      <c r="L4" s="554"/>
      <c r="M4" s="747" t="s">
        <v>197</v>
      </c>
      <c r="N4" s="747"/>
      <c r="O4" s="734" t="s">
        <v>161</v>
      </c>
      <c r="P4" s="734"/>
      <c r="Q4" s="734"/>
      <c r="R4" s="563">
        <v>195200</v>
      </c>
      <c r="S4" s="518" t="s">
        <v>103</v>
      </c>
      <c r="T4" s="564"/>
      <c r="U4" s="565" t="s">
        <v>492</v>
      </c>
      <c r="W4" s="747" t="s">
        <v>197</v>
      </c>
      <c r="X4" s="747"/>
      <c r="Y4" s="734" t="s">
        <v>161</v>
      </c>
      <c r="Z4" s="734"/>
      <c r="AA4" s="734"/>
      <c r="AB4" s="563">
        <v>95311</v>
      </c>
      <c r="AC4" s="518" t="s">
        <v>103</v>
      </c>
      <c r="AD4" s="564"/>
      <c r="AE4" s="565" t="s">
        <v>495</v>
      </c>
    </row>
    <row r="5" spans="3:31" ht="35.25" customHeight="1" x14ac:dyDescent="0.3">
      <c r="C5" s="741" t="s">
        <v>491</v>
      </c>
      <c r="D5" s="741"/>
      <c r="E5" s="742" t="s">
        <v>162</v>
      </c>
      <c r="F5" s="742"/>
      <c r="G5" s="742"/>
      <c r="H5" s="595">
        <f>+'Budget R0'!G5</f>
        <v>163978</v>
      </c>
      <c r="I5" s="649" t="s">
        <v>103</v>
      </c>
      <c r="J5" s="594"/>
      <c r="K5" s="647"/>
      <c r="L5" s="554"/>
      <c r="M5" s="732" t="s">
        <v>491</v>
      </c>
      <c r="N5" s="733"/>
      <c r="O5" s="734" t="s">
        <v>162</v>
      </c>
      <c r="P5" s="734"/>
      <c r="Q5" s="734"/>
      <c r="R5" s="563">
        <v>130733</v>
      </c>
      <c r="S5" s="518" t="s">
        <v>103</v>
      </c>
      <c r="T5" s="564"/>
      <c r="U5" s="565" t="s">
        <v>163</v>
      </c>
      <c r="W5" s="747" t="s">
        <v>491</v>
      </c>
      <c r="X5" s="747"/>
      <c r="Y5" s="734" t="s">
        <v>162</v>
      </c>
      <c r="Z5" s="734"/>
      <c r="AA5" s="734"/>
      <c r="AB5" s="563">
        <v>81095</v>
      </c>
      <c r="AC5" s="518" t="s">
        <v>103</v>
      </c>
      <c r="AD5" s="564"/>
      <c r="AE5" s="565" t="s">
        <v>163</v>
      </c>
    </row>
    <row r="6" spans="3:31" s="272" customFormat="1" ht="34.5" customHeight="1" x14ac:dyDescent="0.3">
      <c r="C6" s="634" t="s">
        <v>39</v>
      </c>
      <c r="D6" s="634" t="s">
        <v>1</v>
      </c>
      <c r="E6" s="634" t="s">
        <v>50</v>
      </c>
      <c r="F6" s="634" t="s">
        <v>23</v>
      </c>
      <c r="G6" s="602" t="s">
        <v>164</v>
      </c>
      <c r="H6" s="602" t="s">
        <v>165</v>
      </c>
      <c r="I6" s="602" t="s">
        <v>166</v>
      </c>
      <c r="J6" s="602" t="s">
        <v>167</v>
      </c>
      <c r="K6" s="601" t="s">
        <v>11</v>
      </c>
      <c r="L6" s="560"/>
      <c r="M6" s="634" t="s">
        <v>39</v>
      </c>
      <c r="N6" s="634" t="s">
        <v>1</v>
      </c>
      <c r="O6" s="634" t="s">
        <v>50</v>
      </c>
      <c r="P6" s="634" t="s">
        <v>23</v>
      </c>
      <c r="Q6" s="602" t="s">
        <v>164</v>
      </c>
      <c r="R6" s="602" t="s">
        <v>165</v>
      </c>
      <c r="S6" s="602" t="s">
        <v>166</v>
      </c>
      <c r="T6" s="602" t="s">
        <v>167</v>
      </c>
      <c r="U6" s="601" t="s">
        <v>11</v>
      </c>
      <c r="W6" s="566" t="s">
        <v>39</v>
      </c>
      <c r="X6" s="566" t="s">
        <v>1</v>
      </c>
      <c r="Y6" s="566" t="s">
        <v>50</v>
      </c>
      <c r="Z6" s="566" t="s">
        <v>23</v>
      </c>
      <c r="AA6" s="567" t="s">
        <v>164</v>
      </c>
      <c r="AB6" s="567" t="s">
        <v>165</v>
      </c>
      <c r="AC6" s="567" t="s">
        <v>166</v>
      </c>
      <c r="AD6" s="567" t="s">
        <v>167</v>
      </c>
      <c r="AE6" s="568" t="s">
        <v>11</v>
      </c>
    </row>
    <row r="7" spans="3:31" ht="23.1" customHeight="1" x14ac:dyDescent="0.3">
      <c r="C7" s="600" t="s">
        <v>168</v>
      </c>
      <c r="D7" s="627" t="s">
        <v>169</v>
      </c>
      <c r="E7" s="599"/>
      <c r="F7" s="743" t="s">
        <v>493</v>
      </c>
      <c r="G7" s="743"/>
      <c r="H7" s="743"/>
      <c r="I7" s="743"/>
      <c r="J7" s="743"/>
      <c r="K7" s="637"/>
      <c r="L7" s="561"/>
      <c r="M7" s="600" t="s">
        <v>168</v>
      </c>
      <c r="N7" s="627" t="s">
        <v>169</v>
      </c>
      <c r="O7" s="599"/>
      <c r="P7" s="745" t="s">
        <v>498</v>
      </c>
      <c r="Q7" s="745"/>
      <c r="R7" s="745"/>
      <c r="S7" s="745"/>
      <c r="T7" s="745"/>
      <c r="U7" s="637"/>
      <c r="W7" s="569" t="s">
        <v>168</v>
      </c>
      <c r="X7" s="570" t="s">
        <v>169</v>
      </c>
      <c r="Y7" s="571"/>
      <c r="Z7" s="749" t="s">
        <v>499</v>
      </c>
      <c r="AA7" s="749"/>
      <c r="AB7" s="749"/>
      <c r="AC7" s="749"/>
      <c r="AD7" s="749"/>
      <c r="AE7" s="572"/>
    </row>
    <row r="8" spans="3:31" ht="29.25" customHeight="1" x14ac:dyDescent="0.3">
      <c r="C8" s="652">
        <v>1</v>
      </c>
      <c r="D8" s="643" t="s">
        <v>51</v>
      </c>
      <c r="E8" s="650" t="s">
        <v>170</v>
      </c>
      <c r="F8" s="626">
        <f>+'Budget R0'!E8</f>
        <v>490</v>
      </c>
      <c r="G8" s="626">
        <f>+'Budget R0'!F8</f>
        <v>285</v>
      </c>
      <c r="H8" s="648">
        <f t="shared" ref="H8:H22" si="0">+G8*F8</f>
        <v>139650</v>
      </c>
      <c r="I8" s="649">
        <f>+H8/H$5</f>
        <v>0.85163863445096288</v>
      </c>
      <c r="J8" s="649">
        <f t="shared" ref="J8:J22" si="1">+H8/H$4</f>
        <v>0.68349672322909993</v>
      </c>
      <c r="K8" s="647"/>
      <c r="L8" s="559"/>
      <c r="M8" s="652">
        <v>1</v>
      </c>
      <c r="N8" s="643" t="s">
        <v>51</v>
      </c>
      <c r="O8" s="650" t="s">
        <v>170</v>
      </c>
      <c r="P8" s="626">
        <v>1315</v>
      </c>
      <c r="Q8" s="626">
        <v>285</v>
      </c>
      <c r="R8" s="648">
        <f t="shared" ref="R8:R22" si="2">+Q8*P8</f>
        <v>374775</v>
      </c>
      <c r="S8" s="649">
        <f>+R8/R$5</f>
        <v>2.8667207208585439</v>
      </c>
      <c r="T8" s="649">
        <f t="shared" ref="T8:T22" si="3">+R8/R$4</f>
        <v>1.919953893442623</v>
      </c>
      <c r="U8" s="647"/>
      <c r="W8" s="573">
        <v>1</v>
      </c>
      <c r="X8" s="517" t="s">
        <v>51</v>
      </c>
      <c r="Y8" s="562" t="s">
        <v>170</v>
      </c>
      <c r="Z8" s="574">
        <v>806</v>
      </c>
      <c r="AA8" s="574">
        <v>275</v>
      </c>
      <c r="AB8" s="575">
        <f t="shared" ref="AB8:AB22" si="4">+AA8*Z8</f>
        <v>221650</v>
      </c>
      <c r="AC8" s="518">
        <f>+AB8/AB$5</f>
        <v>2.7332141315740799</v>
      </c>
      <c r="AD8" s="518">
        <f t="shared" ref="AD8:AD22" si="5">+AB8/AB$4</f>
        <v>2.3255447954590762</v>
      </c>
      <c r="AE8" s="565"/>
    </row>
    <row r="9" spans="3:31" ht="28.8" x14ac:dyDescent="0.3">
      <c r="C9" s="652">
        <f t="shared" ref="C9:C22" si="6">1+C8</f>
        <v>2</v>
      </c>
      <c r="D9" s="643" t="s">
        <v>172</v>
      </c>
      <c r="E9" s="650" t="s">
        <v>170</v>
      </c>
      <c r="F9" s="626">
        <f>+'Budget R0'!E9</f>
        <v>510</v>
      </c>
      <c r="G9" s="626">
        <f>+'Budget R0'!F9</f>
        <v>285</v>
      </c>
      <c r="H9" s="648">
        <f t="shared" si="0"/>
        <v>145350</v>
      </c>
      <c r="I9" s="649">
        <f t="shared" ref="I9:I22" si="7">+H9/H$5</f>
        <v>0.88639939504079812</v>
      </c>
      <c r="J9" s="649">
        <f t="shared" si="1"/>
        <v>0.71139454866702234</v>
      </c>
      <c r="K9" s="647" t="s">
        <v>199</v>
      </c>
      <c r="L9" s="559"/>
      <c r="M9" s="652">
        <f t="shared" ref="M9:M22" si="8">1+M8</f>
        <v>2</v>
      </c>
      <c r="N9" s="643" t="s">
        <v>172</v>
      </c>
      <c r="O9" s="650" t="s">
        <v>170</v>
      </c>
      <c r="P9" s="626">
        <v>1451</v>
      </c>
      <c r="Q9" s="626">
        <v>285</v>
      </c>
      <c r="R9" s="648">
        <f t="shared" si="2"/>
        <v>413535</v>
      </c>
      <c r="S9" s="649">
        <f t="shared" ref="S9:S22" si="9">+R9/R$5</f>
        <v>3.1632028638522791</v>
      </c>
      <c r="T9" s="649">
        <f t="shared" si="3"/>
        <v>2.1185194672131149</v>
      </c>
      <c r="U9" s="647" t="s">
        <v>199</v>
      </c>
      <c r="W9" s="573">
        <f>+W8+1</f>
        <v>2</v>
      </c>
      <c r="X9" s="517" t="s">
        <v>172</v>
      </c>
      <c r="Y9" s="562" t="s">
        <v>170</v>
      </c>
      <c r="Z9" s="574">
        <v>1082</v>
      </c>
      <c r="AA9" s="574">
        <v>275</v>
      </c>
      <c r="AB9" s="575">
        <f t="shared" si="4"/>
        <v>297550</v>
      </c>
      <c r="AC9" s="518">
        <f t="shared" ref="AC9:AC22" si="10">+AB9/AB$5</f>
        <v>3.6691534619890254</v>
      </c>
      <c r="AD9" s="518">
        <f t="shared" si="5"/>
        <v>3.1218851968817871</v>
      </c>
      <c r="AE9" s="565" t="s">
        <v>199</v>
      </c>
    </row>
    <row r="10" spans="3:31" ht="28.8" x14ac:dyDescent="0.3">
      <c r="C10" s="652">
        <f t="shared" si="6"/>
        <v>3</v>
      </c>
      <c r="D10" s="643" t="s">
        <v>173</v>
      </c>
      <c r="E10" s="650" t="s">
        <v>65</v>
      </c>
      <c r="F10" s="626">
        <f>+'Budget R0'!E10</f>
        <v>1455</v>
      </c>
      <c r="G10" s="626">
        <f>+'Budget R0'!F10</f>
        <v>54</v>
      </c>
      <c r="H10" s="648">
        <f t="shared" si="0"/>
        <v>78570</v>
      </c>
      <c r="I10" s="649">
        <f t="shared" si="7"/>
        <v>0.4791496420251497</v>
      </c>
      <c r="J10" s="649">
        <f t="shared" si="1"/>
        <v>0.38454949906273095</v>
      </c>
      <c r="K10" s="647" t="s">
        <v>199</v>
      </c>
      <c r="L10" s="559"/>
      <c r="M10" s="652">
        <f t="shared" si="8"/>
        <v>3</v>
      </c>
      <c r="N10" s="643" t="s">
        <v>173</v>
      </c>
      <c r="O10" s="650" t="s">
        <v>65</v>
      </c>
      <c r="P10" s="626">
        <v>3455</v>
      </c>
      <c r="Q10" s="626">
        <v>40</v>
      </c>
      <c r="R10" s="648">
        <f t="shared" si="2"/>
        <v>138200</v>
      </c>
      <c r="S10" s="649">
        <f t="shared" si="9"/>
        <v>1.0571164128414401</v>
      </c>
      <c r="T10" s="649">
        <f t="shared" si="3"/>
        <v>0.70799180327868849</v>
      </c>
      <c r="U10" s="647" t="s">
        <v>199</v>
      </c>
      <c r="W10" s="573">
        <f>+W9+1</f>
        <v>3</v>
      </c>
      <c r="X10" s="517" t="s">
        <v>173</v>
      </c>
      <c r="Y10" s="562" t="s">
        <v>65</v>
      </c>
      <c r="Z10" s="574">
        <v>2577</v>
      </c>
      <c r="AA10" s="574">
        <v>55</v>
      </c>
      <c r="AB10" s="575">
        <f t="shared" si="4"/>
        <v>141735</v>
      </c>
      <c r="AC10" s="518">
        <f t="shared" si="10"/>
        <v>1.7477649670139959</v>
      </c>
      <c r="AD10" s="518">
        <f t="shared" si="5"/>
        <v>1.4870791409176276</v>
      </c>
      <c r="AE10" s="565" t="s">
        <v>199</v>
      </c>
    </row>
    <row r="11" spans="3:31" ht="23.1" customHeight="1" x14ac:dyDescent="0.3">
      <c r="C11" s="652">
        <f t="shared" si="6"/>
        <v>4</v>
      </c>
      <c r="D11" s="643" t="s">
        <v>53</v>
      </c>
      <c r="E11" s="650" t="s">
        <v>65</v>
      </c>
      <c r="F11" s="626">
        <f>+'Budget R0'!E11</f>
        <v>4412</v>
      </c>
      <c r="G11" s="626">
        <f>+'Budget R0'!F11</f>
        <v>50</v>
      </c>
      <c r="H11" s="648">
        <f t="shared" si="0"/>
        <v>220600</v>
      </c>
      <c r="I11" s="649">
        <f t="shared" si="7"/>
        <v>1.3453024186171316</v>
      </c>
      <c r="J11" s="649">
        <f t="shared" si="1"/>
        <v>1.0796947880009984</v>
      </c>
      <c r="K11" s="647"/>
      <c r="L11" s="559"/>
      <c r="M11" s="652">
        <f t="shared" si="8"/>
        <v>4</v>
      </c>
      <c r="N11" s="643" t="s">
        <v>53</v>
      </c>
      <c r="O11" s="650" t="s">
        <v>65</v>
      </c>
      <c r="P11" s="626">
        <v>10615</v>
      </c>
      <c r="Q11" s="626">
        <v>40</v>
      </c>
      <c r="R11" s="648">
        <f t="shared" si="2"/>
        <v>424600</v>
      </c>
      <c r="S11" s="649">
        <f t="shared" si="9"/>
        <v>3.2478410194824567</v>
      </c>
      <c r="T11" s="649">
        <f t="shared" si="3"/>
        <v>2.175204918032787</v>
      </c>
      <c r="U11" s="647"/>
      <c r="W11" s="573">
        <f t="shared" ref="W11:W27" si="11">+W10+1</f>
        <v>4</v>
      </c>
      <c r="X11" s="517" t="s">
        <v>53</v>
      </c>
      <c r="Y11" s="562" t="s">
        <v>65</v>
      </c>
      <c r="Z11" s="574">
        <v>6257</v>
      </c>
      <c r="AA11" s="574">
        <v>50</v>
      </c>
      <c r="AB11" s="575">
        <f t="shared" si="4"/>
        <v>312850</v>
      </c>
      <c r="AC11" s="518">
        <f t="shared" si="10"/>
        <v>3.8578210740489549</v>
      </c>
      <c r="AD11" s="518">
        <f t="shared" si="5"/>
        <v>3.2824123133741123</v>
      </c>
      <c r="AE11" s="565"/>
    </row>
    <row r="12" spans="3:31" ht="23.1" customHeight="1" x14ac:dyDescent="0.3">
      <c r="C12" s="652">
        <f t="shared" si="6"/>
        <v>5</v>
      </c>
      <c r="D12" s="643" t="s">
        <v>174</v>
      </c>
      <c r="E12" s="650" t="s">
        <v>65</v>
      </c>
      <c r="F12" s="626">
        <f>+'Budget R0'!E12</f>
        <v>1716</v>
      </c>
      <c r="G12" s="626">
        <f>+'Budget R0'!F12</f>
        <v>42</v>
      </c>
      <c r="H12" s="648">
        <f t="shared" si="0"/>
        <v>72072</v>
      </c>
      <c r="I12" s="649">
        <f t="shared" si="7"/>
        <v>0.43952237495273755</v>
      </c>
      <c r="J12" s="649">
        <f t="shared" si="1"/>
        <v>0.35274597806349939</v>
      </c>
      <c r="K12" s="647" t="s">
        <v>175</v>
      </c>
      <c r="L12" s="559"/>
      <c r="M12" s="652">
        <f t="shared" si="8"/>
        <v>5</v>
      </c>
      <c r="N12" s="643" t="s">
        <v>174</v>
      </c>
      <c r="O12" s="650" t="s">
        <v>65</v>
      </c>
      <c r="P12" s="626">
        <v>2475</v>
      </c>
      <c r="Q12" s="626">
        <v>30</v>
      </c>
      <c r="R12" s="648">
        <f t="shared" si="2"/>
        <v>74250</v>
      </c>
      <c r="S12" s="649">
        <f t="shared" si="9"/>
        <v>0.56795147361416021</v>
      </c>
      <c r="T12" s="649">
        <f t="shared" si="3"/>
        <v>0.38037909836065575</v>
      </c>
      <c r="U12" s="647" t="s">
        <v>175</v>
      </c>
      <c r="W12" s="573">
        <f t="shared" si="11"/>
        <v>5</v>
      </c>
      <c r="X12" s="517" t="s">
        <v>174</v>
      </c>
      <c r="Y12" s="562" t="s">
        <v>65</v>
      </c>
      <c r="Z12" s="574">
        <v>2031</v>
      </c>
      <c r="AA12" s="574">
        <v>40</v>
      </c>
      <c r="AB12" s="575">
        <f t="shared" si="4"/>
        <v>81240</v>
      </c>
      <c r="AC12" s="518">
        <f t="shared" si="10"/>
        <v>1.0017880263888033</v>
      </c>
      <c r="AD12" s="518">
        <f t="shared" si="5"/>
        <v>0.85236751266905186</v>
      </c>
      <c r="AE12" s="565" t="s">
        <v>175</v>
      </c>
    </row>
    <row r="13" spans="3:31" ht="23.1" customHeight="1" x14ac:dyDescent="0.3">
      <c r="C13" s="652">
        <f t="shared" si="6"/>
        <v>6</v>
      </c>
      <c r="D13" s="643" t="s">
        <v>54</v>
      </c>
      <c r="E13" s="650" t="s">
        <v>65</v>
      </c>
      <c r="F13" s="626">
        <f>+'Budget R0'!E13</f>
        <v>106</v>
      </c>
      <c r="G13" s="626">
        <f>+'Budget R0'!F13</f>
        <v>42</v>
      </c>
      <c r="H13" s="648">
        <f t="shared" si="0"/>
        <v>4452</v>
      </c>
      <c r="I13" s="649">
        <f>+H13/H$5</f>
        <v>2.7149983534376563E-2</v>
      </c>
      <c r="J13" s="649">
        <f t="shared" si="1"/>
        <v>2.1789669973619426E-2</v>
      </c>
      <c r="K13" s="647" t="s">
        <v>200</v>
      </c>
      <c r="L13" s="559"/>
      <c r="M13" s="652">
        <f t="shared" si="8"/>
        <v>6</v>
      </c>
      <c r="N13" s="643" t="s">
        <v>54</v>
      </c>
      <c r="O13" s="650" t="s">
        <v>65</v>
      </c>
      <c r="P13" s="626">
        <v>344</v>
      </c>
      <c r="Q13" s="626">
        <v>30</v>
      </c>
      <c r="R13" s="648">
        <f t="shared" si="2"/>
        <v>10320</v>
      </c>
      <c r="S13" s="649">
        <f>+R13/R$5</f>
        <v>7.8939517948796403E-2</v>
      </c>
      <c r="T13" s="649">
        <f t="shared" si="3"/>
        <v>5.2868852459016395E-2</v>
      </c>
      <c r="U13" s="647" t="s">
        <v>200</v>
      </c>
      <c r="W13" s="573">
        <f t="shared" si="11"/>
        <v>6</v>
      </c>
      <c r="X13" s="517" t="s">
        <v>54</v>
      </c>
      <c r="Y13" s="562" t="s">
        <v>65</v>
      </c>
      <c r="Z13" s="574">
        <v>524</v>
      </c>
      <c r="AA13" s="574">
        <v>40</v>
      </c>
      <c r="AB13" s="575">
        <f t="shared" si="4"/>
        <v>20960</v>
      </c>
      <c r="AC13" s="518">
        <f>+AB13/AB$5</f>
        <v>0.2584622973056292</v>
      </c>
      <c r="AD13" s="518">
        <f t="shared" si="5"/>
        <v>0.21991165762608722</v>
      </c>
      <c r="AE13" s="565" t="s">
        <v>200</v>
      </c>
    </row>
    <row r="14" spans="3:31" ht="28.8" x14ac:dyDescent="0.3">
      <c r="C14" s="652">
        <f t="shared" si="6"/>
        <v>7</v>
      </c>
      <c r="D14" s="643" t="s">
        <v>56</v>
      </c>
      <c r="E14" s="650" t="s">
        <v>65</v>
      </c>
      <c r="F14" s="626">
        <f>+'Budget R0'!E14</f>
        <v>603</v>
      </c>
      <c r="G14" s="626">
        <f>+'Budget R0'!F14</f>
        <v>36</v>
      </c>
      <c r="H14" s="648">
        <f t="shared" si="0"/>
        <v>21708</v>
      </c>
      <c r="I14" s="649">
        <f t="shared" si="7"/>
        <v>0.13238361243581456</v>
      </c>
      <c r="J14" s="649">
        <f t="shared" si="1"/>
        <v>0.10624666572042464</v>
      </c>
      <c r="K14" s="647" t="s">
        <v>201</v>
      </c>
      <c r="L14" s="559"/>
      <c r="M14" s="652">
        <f t="shared" si="8"/>
        <v>7</v>
      </c>
      <c r="N14" s="643" t="s">
        <v>56</v>
      </c>
      <c r="O14" s="650" t="s">
        <v>65</v>
      </c>
      <c r="P14" s="626">
        <v>3055</v>
      </c>
      <c r="Q14" s="626">
        <v>27</v>
      </c>
      <c r="R14" s="648">
        <f t="shared" si="2"/>
        <v>82485</v>
      </c>
      <c r="S14" s="649">
        <f t="shared" si="9"/>
        <v>0.63094245523318515</v>
      </c>
      <c r="T14" s="649">
        <f t="shared" si="3"/>
        <v>0.42256659836065574</v>
      </c>
      <c r="U14" s="647" t="s">
        <v>201</v>
      </c>
      <c r="W14" s="573">
        <f t="shared" si="11"/>
        <v>7</v>
      </c>
      <c r="X14" s="517" t="s">
        <v>56</v>
      </c>
      <c r="Y14" s="562" t="s">
        <v>65</v>
      </c>
      <c r="Z14" s="574">
        <v>1825</v>
      </c>
      <c r="AA14" s="574">
        <v>40</v>
      </c>
      <c r="AB14" s="575">
        <f t="shared" si="4"/>
        <v>73000</v>
      </c>
      <c r="AC14" s="518">
        <f t="shared" si="10"/>
        <v>0.90017880263888028</v>
      </c>
      <c r="AD14" s="518">
        <f t="shared" si="5"/>
        <v>0.76591369306795642</v>
      </c>
      <c r="AE14" s="565" t="s">
        <v>201</v>
      </c>
    </row>
    <row r="15" spans="3:31" ht="23.1" customHeight="1" x14ac:dyDescent="0.3">
      <c r="C15" s="652">
        <f t="shared" si="6"/>
        <v>8</v>
      </c>
      <c r="D15" s="598" t="s">
        <v>176</v>
      </c>
      <c r="E15" s="650" t="s">
        <v>3</v>
      </c>
      <c r="F15" s="626">
        <f>+'Budget R0'!E15</f>
        <v>35889.905233066813</v>
      </c>
      <c r="G15" s="626">
        <f>+'Budget R0'!F15</f>
        <v>96</v>
      </c>
      <c r="H15" s="648">
        <f t="shared" si="0"/>
        <v>3445430.9023744138</v>
      </c>
      <c r="I15" s="649">
        <f t="shared" si="7"/>
        <v>21.011543636185426</v>
      </c>
      <c r="J15" s="649">
        <f t="shared" si="1"/>
        <v>16.863163135590352</v>
      </c>
      <c r="K15" s="647"/>
      <c r="L15" s="559"/>
      <c r="M15" s="652">
        <f t="shared" si="8"/>
        <v>8</v>
      </c>
      <c r="N15" s="598" t="s">
        <v>176</v>
      </c>
      <c r="O15" s="650" t="s">
        <v>3</v>
      </c>
      <c r="P15" s="626">
        <v>85764</v>
      </c>
      <c r="Q15" s="592">
        <v>90</v>
      </c>
      <c r="R15" s="648">
        <f t="shared" si="2"/>
        <v>7718760</v>
      </c>
      <c r="S15" s="649">
        <f t="shared" si="9"/>
        <v>59.04216991884222</v>
      </c>
      <c r="T15" s="649">
        <f t="shared" si="3"/>
        <v>39.542827868852456</v>
      </c>
      <c r="U15" s="647"/>
      <c r="W15" s="573">
        <f t="shared" si="11"/>
        <v>8</v>
      </c>
      <c r="X15" s="576" t="s">
        <v>176</v>
      </c>
      <c r="Y15" s="562" t="s">
        <v>3</v>
      </c>
      <c r="Z15" s="574">
        <v>46559.34888904784</v>
      </c>
      <c r="AA15" s="587">
        <v>85.71</v>
      </c>
      <c r="AB15" s="575">
        <f t="shared" si="4"/>
        <v>3990601.79328029</v>
      </c>
      <c r="AC15" s="518">
        <f t="shared" si="10"/>
        <v>49.208974576487947</v>
      </c>
      <c r="AD15" s="518">
        <f t="shared" si="5"/>
        <v>41.869267904861871</v>
      </c>
      <c r="AE15" s="565"/>
    </row>
    <row r="16" spans="3:31" ht="23.1" customHeight="1" x14ac:dyDescent="0.3">
      <c r="C16" s="652">
        <f t="shared" si="6"/>
        <v>9</v>
      </c>
      <c r="D16" s="598" t="s">
        <v>177</v>
      </c>
      <c r="E16" s="650" t="s">
        <v>3</v>
      </c>
      <c r="F16" s="626">
        <f>+'Budget R0'!E16</f>
        <v>1393.3963255930219</v>
      </c>
      <c r="G16" s="626">
        <f>+'Budget R0'!F16</f>
        <v>49</v>
      </c>
      <c r="H16" s="648">
        <f t="shared" si="0"/>
        <v>68276.419954058074</v>
      </c>
      <c r="I16" s="649">
        <f t="shared" si="7"/>
        <v>0.41637548911474753</v>
      </c>
      <c r="J16" s="649">
        <f t="shared" si="1"/>
        <v>0.33416906059729767</v>
      </c>
      <c r="K16" s="647"/>
      <c r="L16" s="559"/>
      <c r="M16" s="652">
        <f t="shared" si="8"/>
        <v>9</v>
      </c>
      <c r="N16" s="598" t="s">
        <v>177</v>
      </c>
      <c r="O16" s="650" t="s">
        <v>3</v>
      </c>
      <c r="P16" s="626">
        <v>36390</v>
      </c>
      <c r="Q16" s="592">
        <v>63</v>
      </c>
      <c r="R16" s="648">
        <f t="shared" si="2"/>
        <v>2292570</v>
      </c>
      <c r="S16" s="649">
        <f t="shared" si="9"/>
        <v>17.536276227119394</v>
      </c>
      <c r="T16" s="649">
        <f t="shared" si="3"/>
        <v>11.744723360655737</v>
      </c>
      <c r="U16" s="647"/>
      <c r="W16" s="573">
        <f t="shared" si="11"/>
        <v>9</v>
      </c>
      <c r="X16" s="576" t="s">
        <v>177</v>
      </c>
      <c r="Y16" s="562" t="s">
        <v>3</v>
      </c>
      <c r="Z16" s="574">
        <v>33190.944109697688</v>
      </c>
      <c r="AA16" s="587">
        <v>42.84</v>
      </c>
      <c r="AB16" s="575">
        <f t="shared" si="4"/>
        <v>1421900.045659449</v>
      </c>
      <c r="AC16" s="518">
        <f t="shared" si="10"/>
        <v>17.533757268135506</v>
      </c>
      <c r="AD16" s="518">
        <f t="shared" si="5"/>
        <v>14.918530344445541</v>
      </c>
      <c r="AE16" s="565"/>
    </row>
    <row r="17" spans="3:31" ht="23.1" customHeight="1" x14ac:dyDescent="0.3">
      <c r="C17" s="652">
        <f t="shared" si="6"/>
        <v>10</v>
      </c>
      <c r="D17" s="598" t="s">
        <v>321</v>
      </c>
      <c r="E17" s="650" t="s">
        <v>3</v>
      </c>
      <c r="F17" s="626">
        <f>+'Budget R0'!E17</f>
        <v>16690.531674163441</v>
      </c>
      <c r="G17" s="626">
        <f>+'Budget R0'!F17</f>
        <v>48</v>
      </c>
      <c r="H17" s="648">
        <f t="shared" si="0"/>
        <v>801145.52035984513</v>
      </c>
      <c r="I17" s="649">
        <f t="shared" si="7"/>
        <v>4.8856890580434271</v>
      </c>
      <c r="J17" s="649">
        <f t="shared" si="1"/>
        <v>3.921090855679386</v>
      </c>
      <c r="K17" s="647"/>
      <c r="L17" s="559"/>
      <c r="M17" s="652">
        <f t="shared" si="8"/>
        <v>10</v>
      </c>
      <c r="N17" s="598" t="s">
        <v>321</v>
      </c>
      <c r="O17" s="650" t="s">
        <v>3</v>
      </c>
      <c r="P17" s="626">
        <v>12185</v>
      </c>
      <c r="Q17" s="592">
        <v>42</v>
      </c>
      <c r="R17" s="648">
        <f t="shared" si="2"/>
        <v>511770</v>
      </c>
      <c r="S17" s="649">
        <f t="shared" si="9"/>
        <v>3.9146198740945284</v>
      </c>
      <c r="T17" s="649">
        <f t="shared" si="3"/>
        <v>2.6217725409836063</v>
      </c>
      <c r="U17" s="647"/>
      <c r="W17" s="573">
        <f t="shared" si="11"/>
        <v>10</v>
      </c>
      <c r="X17" s="576" t="s">
        <v>326</v>
      </c>
      <c r="Y17" s="562" t="s">
        <v>3</v>
      </c>
      <c r="Z17" s="574">
        <v>6866.8095654382523</v>
      </c>
      <c r="AA17" s="587">
        <v>55.93</v>
      </c>
      <c r="AB17" s="575">
        <f t="shared" si="4"/>
        <v>384060.65899496147</v>
      </c>
      <c r="AC17" s="518">
        <f t="shared" si="10"/>
        <v>4.7359351254079964</v>
      </c>
      <c r="AD17" s="518">
        <f t="shared" si="5"/>
        <v>4.0295522971636171</v>
      </c>
      <c r="AE17" s="565"/>
    </row>
    <row r="18" spans="3:31" ht="35.25" customHeight="1" x14ac:dyDescent="0.3">
      <c r="C18" s="652">
        <f t="shared" si="6"/>
        <v>11</v>
      </c>
      <c r="D18" s="598" t="s">
        <v>322</v>
      </c>
      <c r="E18" s="650" t="s">
        <v>3</v>
      </c>
      <c r="F18" s="626">
        <f>+'Budget R0'!E18</f>
        <v>231.41523814380005</v>
      </c>
      <c r="G18" s="626">
        <f>+'Budget R0'!F18</f>
        <v>36</v>
      </c>
      <c r="H18" s="648">
        <f t="shared" si="0"/>
        <v>8330.9485731768018</v>
      </c>
      <c r="I18" s="649">
        <f t="shared" si="7"/>
        <v>5.0805282252355817E-2</v>
      </c>
      <c r="J18" s="649">
        <f t="shared" si="1"/>
        <v>4.0774622636279907E-2</v>
      </c>
      <c r="K18" s="647"/>
      <c r="L18" s="559"/>
      <c r="M18" s="652">
        <f t="shared" si="8"/>
        <v>11</v>
      </c>
      <c r="N18" s="598" t="s">
        <v>322</v>
      </c>
      <c r="O18" s="650" t="s">
        <v>3</v>
      </c>
      <c r="P18" s="626">
        <v>13846</v>
      </c>
      <c r="Q18" s="592">
        <v>25</v>
      </c>
      <c r="R18" s="648">
        <f t="shared" si="2"/>
        <v>346150</v>
      </c>
      <c r="S18" s="649">
        <f t="shared" si="9"/>
        <v>2.6477629978658794</v>
      </c>
      <c r="T18" s="649">
        <f t="shared" si="3"/>
        <v>1.7733094262295082</v>
      </c>
      <c r="U18" s="647"/>
      <c r="W18" s="573">
        <f t="shared" si="11"/>
        <v>11</v>
      </c>
      <c r="X18" s="576" t="s">
        <v>322</v>
      </c>
      <c r="Y18" s="562" t="s">
        <v>3</v>
      </c>
      <c r="Z18" s="574">
        <v>4601.2246132500022</v>
      </c>
      <c r="AA18" s="587">
        <v>40.67</v>
      </c>
      <c r="AB18" s="575">
        <f t="shared" si="4"/>
        <v>187131.8050208776</v>
      </c>
      <c r="AC18" s="518">
        <f t="shared" si="10"/>
        <v>2.3075627969773427</v>
      </c>
      <c r="AD18" s="518">
        <f t="shared" si="5"/>
        <v>1.9633809845755221</v>
      </c>
      <c r="AE18" s="565"/>
    </row>
    <row r="19" spans="3:31" ht="23.1" customHeight="1" x14ac:dyDescent="0.3">
      <c r="C19" s="652">
        <f t="shared" si="6"/>
        <v>12</v>
      </c>
      <c r="D19" s="598" t="s">
        <v>242</v>
      </c>
      <c r="E19" s="650" t="s">
        <v>3</v>
      </c>
      <c r="F19" s="626">
        <f>+'Budget R0'!E19</f>
        <v>0</v>
      </c>
      <c r="G19" s="626">
        <f>+'Budget R0'!F19</f>
        <v>12</v>
      </c>
      <c r="H19" s="648">
        <f t="shared" si="0"/>
        <v>0</v>
      </c>
      <c r="I19" s="649">
        <f t="shared" si="7"/>
        <v>0</v>
      </c>
      <c r="J19" s="649">
        <f t="shared" si="1"/>
        <v>0</v>
      </c>
      <c r="K19" s="647"/>
      <c r="L19" s="559"/>
      <c r="M19" s="652">
        <f t="shared" si="8"/>
        <v>12</v>
      </c>
      <c r="N19" s="598" t="s">
        <v>242</v>
      </c>
      <c r="O19" s="650" t="s">
        <v>3</v>
      </c>
      <c r="P19" s="626">
        <v>364</v>
      </c>
      <c r="Q19" s="592">
        <v>12</v>
      </c>
      <c r="R19" s="648">
        <f t="shared" si="2"/>
        <v>4368</v>
      </c>
      <c r="S19" s="649">
        <f t="shared" si="9"/>
        <v>3.3411609922513824E-2</v>
      </c>
      <c r="T19" s="649">
        <f t="shared" si="3"/>
        <v>2.237704918032787E-2</v>
      </c>
      <c r="U19" s="647"/>
      <c r="W19" s="573">
        <f t="shared" si="11"/>
        <v>12</v>
      </c>
      <c r="X19" s="576" t="s">
        <v>496</v>
      </c>
      <c r="Y19" s="562" t="s">
        <v>3</v>
      </c>
      <c r="Z19" s="574">
        <v>3191</v>
      </c>
      <c r="AA19" s="587">
        <v>46</v>
      </c>
      <c r="AB19" s="575">
        <f t="shared" si="4"/>
        <v>146786</v>
      </c>
      <c r="AC19" s="518">
        <f t="shared" si="10"/>
        <v>1.8100499414267217</v>
      </c>
      <c r="AD19" s="518">
        <f t="shared" si="5"/>
        <v>1.5400740732968912</v>
      </c>
      <c r="AE19" s="565"/>
    </row>
    <row r="20" spans="3:31" ht="31.5" customHeight="1" x14ac:dyDescent="0.3">
      <c r="C20" s="652">
        <f t="shared" si="6"/>
        <v>13</v>
      </c>
      <c r="D20" s="598" t="s">
        <v>178</v>
      </c>
      <c r="E20" s="650" t="s">
        <v>179</v>
      </c>
      <c r="F20" s="626">
        <f>+'Budget R0'!E20</f>
        <v>6</v>
      </c>
      <c r="G20" s="626">
        <f>+'Budget R0'!F20</f>
        <v>2605</v>
      </c>
      <c r="H20" s="648">
        <f t="shared" si="0"/>
        <v>15630</v>
      </c>
      <c r="I20" s="649">
        <f>+H20/H$5</f>
        <v>9.5317664564758681E-2</v>
      </c>
      <c r="J20" s="649">
        <f t="shared" si="1"/>
        <v>7.6498773963987327E-2</v>
      </c>
      <c r="K20" s="647" t="s">
        <v>180</v>
      </c>
      <c r="L20" s="559"/>
      <c r="M20" s="652">
        <f t="shared" si="8"/>
        <v>13</v>
      </c>
      <c r="N20" s="598" t="s">
        <v>178</v>
      </c>
      <c r="O20" s="650" t="s">
        <v>179</v>
      </c>
      <c r="P20" s="626">
        <v>17</v>
      </c>
      <c r="Q20" s="626">
        <v>2605</v>
      </c>
      <c r="R20" s="648">
        <f t="shared" si="2"/>
        <v>44285</v>
      </c>
      <c r="S20" s="649">
        <f>+R20/R$5</f>
        <v>0.33874385197310547</v>
      </c>
      <c r="T20" s="649">
        <f t="shared" si="3"/>
        <v>0.22686987704918032</v>
      </c>
      <c r="U20" s="647" t="s">
        <v>180</v>
      </c>
      <c r="W20" s="573">
        <f t="shared" si="11"/>
        <v>13</v>
      </c>
      <c r="X20" s="576" t="s">
        <v>497</v>
      </c>
      <c r="Y20" s="562" t="s">
        <v>179</v>
      </c>
      <c r="Z20" s="574">
        <v>6</v>
      </c>
      <c r="AA20" s="574">
        <v>2605</v>
      </c>
      <c r="AB20" s="575">
        <f t="shared" si="4"/>
        <v>15630</v>
      </c>
      <c r="AC20" s="518">
        <f>+AB20/AB$5</f>
        <v>0.19273691349651642</v>
      </c>
      <c r="AD20" s="518">
        <f t="shared" si="5"/>
        <v>0.16398946606372822</v>
      </c>
      <c r="AE20" s="565" t="s">
        <v>180</v>
      </c>
    </row>
    <row r="21" spans="3:31" ht="23.1" customHeight="1" x14ac:dyDescent="0.3">
      <c r="C21" s="652">
        <f t="shared" si="6"/>
        <v>14</v>
      </c>
      <c r="D21" s="643" t="s">
        <v>181</v>
      </c>
      <c r="E21" s="650" t="s">
        <v>76</v>
      </c>
      <c r="F21" s="626"/>
      <c r="G21" s="626"/>
      <c r="H21" s="648">
        <f t="shared" si="0"/>
        <v>0</v>
      </c>
      <c r="I21" s="649">
        <f t="shared" si="7"/>
        <v>0</v>
      </c>
      <c r="J21" s="649">
        <f t="shared" si="1"/>
        <v>0</v>
      </c>
      <c r="K21" s="647" t="s">
        <v>490</v>
      </c>
      <c r="L21" s="559"/>
      <c r="M21" s="652">
        <f t="shared" si="8"/>
        <v>14</v>
      </c>
      <c r="N21" s="643" t="s">
        <v>181</v>
      </c>
      <c r="O21" s="650" t="s">
        <v>76</v>
      </c>
      <c r="P21" s="626">
        <v>632</v>
      </c>
      <c r="Q21" s="626">
        <v>21</v>
      </c>
      <c r="R21" s="648">
        <f t="shared" si="2"/>
        <v>13272</v>
      </c>
      <c r="S21" s="649">
        <f t="shared" si="9"/>
        <v>0.10151989168763817</v>
      </c>
      <c r="T21" s="649">
        <f t="shared" si="3"/>
        <v>6.799180327868852E-2</v>
      </c>
      <c r="U21" s="647" t="s">
        <v>182</v>
      </c>
      <c r="W21" s="573">
        <f t="shared" si="11"/>
        <v>14</v>
      </c>
      <c r="X21" s="517" t="s">
        <v>181</v>
      </c>
      <c r="Y21" s="562" t="s">
        <v>76</v>
      </c>
      <c r="Z21" s="588">
        <v>260</v>
      </c>
      <c r="AA21" s="574">
        <v>21</v>
      </c>
      <c r="AB21" s="575">
        <f t="shared" si="4"/>
        <v>5460</v>
      </c>
      <c r="AC21" s="518">
        <f t="shared" si="10"/>
        <v>6.7328441950798443E-2</v>
      </c>
      <c r="AD21" s="518">
        <f t="shared" si="5"/>
        <v>5.7286147454123866E-2</v>
      </c>
      <c r="AE21" s="565" t="s">
        <v>182</v>
      </c>
    </row>
    <row r="22" spans="3:31" ht="23.1" customHeight="1" x14ac:dyDescent="0.3">
      <c r="C22" s="652">
        <f t="shared" si="6"/>
        <v>15</v>
      </c>
      <c r="D22" s="643" t="s">
        <v>183</v>
      </c>
      <c r="E22" s="650" t="s">
        <v>76</v>
      </c>
      <c r="F22" s="626"/>
      <c r="G22" s="626"/>
      <c r="H22" s="648">
        <f t="shared" si="0"/>
        <v>0</v>
      </c>
      <c r="I22" s="649">
        <f t="shared" si="7"/>
        <v>0</v>
      </c>
      <c r="J22" s="649">
        <f t="shared" si="1"/>
        <v>0</v>
      </c>
      <c r="K22" s="647" t="s">
        <v>490</v>
      </c>
      <c r="L22" s="559"/>
      <c r="M22" s="652">
        <f t="shared" si="8"/>
        <v>15</v>
      </c>
      <c r="N22" s="643" t="s">
        <v>183</v>
      </c>
      <c r="O22" s="650" t="s">
        <v>76</v>
      </c>
      <c r="P22" s="626">
        <v>93</v>
      </c>
      <c r="Q22" s="626">
        <v>61</v>
      </c>
      <c r="R22" s="648">
        <f t="shared" si="2"/>
        <v>5673</v>
      </c>
      <c r="S22" s="649">
        <f t="shared" si="9"/>
        <v>4.3393787337550581E-2</v>
      </c>
      <c r="T22" s="649">
        <f t="shared" si="3"/>
        <v>2.9062500000000002E-2</v>
      </c>
      <c r="U22" s="647" t="s">
        <v>184</v>
      </c>
      <c r="W22" s="573">
        <f t="shared" si="11"/>
        <v>15</v>
      </c>
      <c r="X22" s="517" t="s">
        <v>183</v>
      </c>
      <c r="Y22" s="562" t="s">
        <v>76</v>
      </c>
      <c r="Z22" s="588">
        <v>67</v>
      </c>
      <c r="AA22" s="574">
        <v>61</v>
      </c>
      <c r="AB22" s="575">
        <f t="shared" si="4"/>
        <v>4087</v>
      </c>
      <c r="AC22" s="518">
        <f t="shared" si="10"/>
        <v>5.0397681731302796E-2</v>
      </c>
      <c r="AD22" s="518">
        <f t="shared" si="5"/>
        <v>4.2880674843407372E-2</v>
      </c>
      <c r="AE22" s="565" t="s">
        <v>184</v>
      </c>
    </row>
    <row r="23" spans="3:31" ht="23.1" customHeight="1" x14ac:dyDescent="0.3">
      <c r="C23" s="646"/>
      <c r="D23" s="597" t="s">
        <v>185</v>
      </c>
      <c r="E23" s="650"/>
      <c r="F23" s="649"/>
      <c r="G23" s="626"/>
      <c r="H23" s="649"/>
      <c r="I23" s="649"/>
      <c r="J23" s="649"/>
      <c r="K23" s="647"/>
      <c r="L23" s="559"/>
      <c r="M23" s="646"/>
      <c r="N23" s="597" t="s">
        <v>185</v>
      </c>
      <c r="O23" s="650"/>
      <c r="P23" s="649"/>
      <c r="Q23" s="626"/>
      <c r="R23" s="649"/>
      <c r="S23" s="649"/>
      <c r="T23" s="649"/>
      <c r="U23" s="647"/>
      <c r="W23" s="573"/>
      <c r="X23" s="578" t="s">
        <v>185</v>
      </c>
      <c r="Y23" s="562"/>
      <c r="Z23" s="518"/>
      <c r="AA23" s="574"/>
      <c r="AB23" s="518"/>
      <c r="AC23" s="518"/>
      <c r="AD23" s="518"/>
      <c r="AE23" s="565"/>
    </row>
    <row r="24" spans="3:31" ht="23.1" customHeight="1" x14ac:dyDescent="0.3">
      <c r="C24" s="652">
        <f>+C22+1</f>
        <v>16</v>
      </c>
      <c r="D24" s="643" t="s">
        <v>60</v>
      </c>
      <c r="E24" s="650" t="s">
        <v>116</v>
      </c>
      <c r="F24" s="649">
        <f>+'Budget R0'!E22</f>
        <v>1772</v>
      </c>
      <c r="G24" s="626">
        <f>+'Budget R0'!F22</f>
        <v>51.5</v>
      </c>
      <c r="H24" s="648">
        <f>+G24*F24</f>
        <v>91258</v>
      </c>
      <c r="I24" s="649">
        <f t="shared" ref="I24:I27" si="12">+H24/H$5</f>
        <v>0.5565258754223128</v>
      </c>
      <c r="J24" s="649">
        <f t="shared" ref="J24:J27" si="13">+H24/H$4</f>
        <v>0.44664907961647832</v>
      </c>
      <c r="K24" s="637"/>
      <c r="L24" s="561"/>
      <c r="M24" s="652">
        <f>+M22+1</f>
        <v>16</v>
      </c>
      <c r="N24" s="643" t="s">
        <v>60</v>
      </c>
      <c r="O24" s="650" t="s">
        <v>116</v>
      </c>
      <c r="P24" s="649">
        <v>6792</v>
      </c>
      <c r="Q24" s="592">
        <v>60</v>
      </c>
      <c r="R24" s="648">
        <f>+Q24*P24</f>
        <v>407520</v>
      </c>
      <c r="S24" s="649">
        <f t="shared" ref="S24:S27" si="14">+R24/R$5</f>
        <v>3.1171930576059603</v>
      </c>
      <c r="T24" s="649">
        <f t="shared" ref="T24:T27" si="15">+R24/R$4</f>
        <v>2.0877049180327867</v>
      </c>
      <c r="U24" s="637"/>
      <c r="W24" s="573">
        <f>+W22+1</f>
        <v>16</v>
      </c>
      <c r="X24" s="517" t="s">
        <v>60</v>
      </c>
      <c r="Y24" s="562" t="s">
        <v>116</v>
      </c>
      <c r="Z24" s="518">
        <v>1499</v>
      </c>
      <c r="AA24" s="587">
        <v>49.8</v>
      </c>
      <c r="AB24" s="575">
        <f>+AA24*Z24</f>
        <v>74650.2</v>
      </c>
      <c r="AC24" s="518">
        <f t="shared" ref="AC24:AC27" si="16">+AB24/AB$5</f>
        <v>0.92052777606510883</v>
      </c>
      <c r="AD24" s="518">
        <f t="shared" ref="AD24:AD27" si="17">+AB24/AB$4</f>
        <v>0.78322753931865152</v>
      </c>
      <c r="AE24" s="572"/>
    </row>
    <row r="25" spans="3:31" ht="23.1" customHeight="1" x14ac:dyDescent="0.3">
      <c r="C25" s="652">
        <f>C24+1</f>
        <v>17</v>
      </c>
      <c r="D25" s="643" t="s">
        <v>61</v>
      </c>
      <c r="E25" s="650" t="s">
        <v>116</v>
      </c>
      <c r="F25" s="649">
        <f>+'Budget R0'!E23</f>
        <v>946</v>
      </c>
      <c r="G25" s="626">
        <f>+'Budget R0'!F23</f>
        <v>51</v>
      </c>
      <c r="H25" s="648">
        <f>+G25*F25</f>
        <v>48246</v>
      </c>
      <c r="I25" s="649">
        <f t="shared" si="12"/>
        <v>0.29422239568722636</v>
      </c>
      <c r="J25" s="649">
        <f t="shared" si="13"/>
        <v>0.23613306773298354</v>
      </c>
      <c r="K25" s="637"/>
      <c r="L25" s="561"/>
      <c r="M25" s="652">
        <f>M24+1</f>
        <v>17</v>
      </c>
      <c r="N25" s="643" t="s">
        <v>61</v>
      </c>
      <c r="O25" s="650" t="s">
        <v>116</v>
      </c>
      <c r="P25" s="649">
        <v>4287</v>
      </c>
      <c r="Q25" s="592">
        <v>59</v>
      </c>
      <c r="R25" s="648">
        <f>+Q25*P25</f>
        <v>252933</v>
      </c>
      <c r="S25" s="649">
        <f t="shared" si="14"/>
        <v>1.9347295633084225</v>
      </c>
      <c r="T25" s="649">
        <f t="shared" si="15"/>
        <v>1.2957633196721312</v>
      </c>
      <c r="U25" s="637"/>
      <c r="W25" s="573">
        <f t="shared" si="11"/>
        <v>17</v>
      </c>
      <c r="X25" s="517" t="s">
        <v>61</v>
      </c>
      <c r="Y25" s="562" t="s">
        <v>116</v>
      </c>
      <c r="Z25" s="518">
        <v>957</v>
      </c>
      <c r="AA25" s="587">
        <v>49</v>
      </c>
      <c r="AB25" s="575">
        <f>+AA25*Z25</f>
        <v>46893</v>
      </c>
      <c r="AC25" s="518">
        <f t="shared" si="16"/>
        <v>0.57824773413897279</v>
      </c>
      <c r="AD25" s="518">
        <f t="shared" si="17"/>
        <v>0.49199987409637924</v>
      </c>
      <c r="AE25" s="572"/>
    </row>
    <row r="26" spans="3:31" ht="22.5" customHeight="1" x14ac:dyDescent="0.3">
      <c r="C26" s="652">
        <f t="shared" ref="C26:C27" si="18">C25+1</f>
        <v>18</v>
      </c>
      <c r="D26" s="643" t="s">
        <v>186</v>
      </c>
      <c r="E26" s="650" t="s">
        <v>116</v>
      </c>
      <c r="F26" s="649">
        <f>+'Budget R0'!E24</f>
        <v>87</v>
      </c>
      <c r="G26" s="626">
        <f>+'Budget R0'!F24</f>
        <v>57</v>
      </c>
      <c r="H26" s="648">
        <f>+G26*F26</f>
        <v>4959</v>
      </c>
      <c r="I26" s="649">
        <f t="shared" si="12"/>
        <v>3.0241861713156643E-2</v>
      </c>
      <c r="J26" s="649">
        <f t="shared" si="13"/>
        <v>2.4271108130992525E-2</v>
      </c>
      <c r="K26" s="647"/>
      <c r="L26" s="559"/>
      <c r="M26" s="652">
        <f t="shared" ref="M26:M27" si="19">M25+1</f>
        <v>18</v>
      </c>
      <c r="N26" s="643" t="s">
        <v>186</v>
      </c>
      <c r="O26" s="650" t="s">
        <v>116</v>
      </c>
      <c r="P26" s="649">
        <v>2511</v>
      </c>
      <c r="Q26" s="626">
        <v>57</v>
      </c>
      <c r="R26" s="648">
        <f>+Q26*P26</f>
        <v>143127</v>
      </c>
      <c r="S26" s="649">
        <f t="shared" si="14"/>
        <v>1.0948039133195138</v>
      </c>
      <c r="T26" s="649">
        <f t="shared" si="15"/>
        <v>0.73323258196721308</v>
      </c>
      <c r="U26" s="647"/>
      <c r="W26" s="573">
        <f t="shared" si="11"/>
        <v>18</v>
      </c>
      <c r="X26" s="517" t="s">
        <v>186</v>
      </c>
      <c r="Y26" s="562" t="s">
        <v>116</v>
      </c>
      <c r="Z26" s="518">
        <v>2024</v>
      </c>
      <c r="AA26" s="574">
        <v>57</v>
      </c>
      <c r="AB26" s="575">
        <f>+AA26*Z26</f>
        <v>115368</v>
      </c>
      <c r="AC26" s="518">
        <f t="shared" si="16"/>
        <v>1.422627782230717</v>
      </c>
      <c r="AD26" s="518">
        <f t="shared" si="17"/>
        <v>1.2104374101625206</v>
      </c>
      <c r="AE26" s="565"/>
    </row>
    <row r="27" spans="3:31" ht="23.1" customHeight="1" x14ac:dyDescent="0.3">
      <c r="C27" s="652">
        <f t="shared" si="18"/>
        <v>19</v>
      </c>
      <c r="D27" s="643" t="s">
        <v>187</v>
      </c>
      <c r="E27" s="650" t="s">
        <v>116</v>
      </c>
      <c r="F27" s="649">
        <f>+'Budget R0'!E25</f>
        <v>33</v>
      </c>
      <c r="G27" s="626">
        <f>+'Budget R0'!F25</f>
        <v>70</v>
      </c>
      <c r="H27" s="648">
        <f>+G27*F27</f>
        <v>2310</v>
      </c>
      <c r="I27" s="649">
        <f t="shared" si="12"/>
        <v>1.4087255607459537E-2</v>
      </c>
      <c r="J27" s="649">
        <f t="shared" si="13"/>
        <v>1.130596083536857E-2</v>
      </c>
      <c r="K27" s="637"/>
      <c r="L27" s="561"/>
      <c r="M27" s="652">
        <f t="shared" si="19"/>
        <v>19</v>
      </c>
      <c r="N27" s="643" t="s">
        <v>187</v>
      </c>
      <c r="O27" s="650" t="s">
        <v>116</v>
      </c>
      <c r="P27" s="649">
        <v>133</v>
      </c>
      <c r="Q27" s="626">
        <f>55*0+70</f>
        <v>70</v>
      </c>
      <c r="R27" s="648">
        <f>+Q27*P27</f>
        <v>9310</v>
      </c>
      <c r="S27" s="649">
        <f t="shared" si="14"/>
        <v>7.121384807202466E-2</v>
      </c>
      <c r="T27" s="649">
        <f t="shared" si="15"/>
        <v>4.7694672131147538E-2</v>
      </c>
      <c r="U27" s="637"/>
      <c r="W27" s="573">
        <f t="shared" si="11"/>
        <v>19</v>
      </c>
      <c r="X27" s="517" t="s">
        <v>187</v>
      </c>
      <c r="Y27" s="562" t="s">
        <v>116</v>
      </c>
      <c r="Z27" s="518">
        <v>30</v>
      </c>
      <c r="AA27" s="574">
        <f>55*0+70</f>
        <v>70</v>
      </c>
      <c r="AB27" s="575">
        <f>+AA27*Z27</f>
        <v>2100</v>
      </c>
      <c r="AC27" s="518">
        <f t="shared" si="16"/>
        <v>2.5895554596460941E-2</v>
      </c>
      <c r="AD27" s="518">
        <f t="shared" si="17"/>
        <v>2.2033133636201487E-2</v>
      </c>
      <c r="AE27" s="572"/>
    </row>
    <row r="28" spans="3:31" ht="23.1" customHeight="1" x14ac:dyDescent="0.3">
      <c r="C28" s="646"/>
      <c r="D28" s="714" t="s">
        <v>188</v>
      </c>
      <c r="E28" s="715"/>
      <c r="F28" s="715"/>
      <c r="G28" s="715"/>
      <c r="H28" s="638">
        <f>SUM(H8:H27)</f>
        <v>5167988.7912614932</v>
      </c>
      <c r="I28" s="638">
        <f>SUM(I8:I27)</f>
        <v>31.516354579647842</v>
      </c>
      <c r="J28" s="638">
        <f>SUM(J8:J27)</f>
        <v>25.29397353750052</v>
      </c>
      <c r="K28" s="637"/>
      <c r="L28" s="561"/>
      <c r="M28" s="646"/>
      <c r="N28" s="714" t="s">
        <v>188</v>
      </c>
      <c r="O28" s="715"/>
      <c r="P28" s="715"/>
      <c r="Q28" s="715"/>
      <c r="R28" s="638">
        <f>SUM(R8:R27)</f>
        <v>13267903</v>
      </c>
      <c r="S28" s="638">
        <f>SUM(S8:S27)</f>
        <v>101.48855300497962</v>
      </c>
      <c r="T28" s="638">
        <f>SUM(T8:T27)</f>
        <v>67.970814549180332</v>
      </c>
      <c r="U28" s="637"/>
      <c r="W28" s="577"/>
      <c r="X28" s="737" t="s">
        <v>188</v>
      </c>
      <c r="Y28" s="738"/>
      <c r="Z28" s="738"/>
      <c r="AA28" s="738"/>
      <c r="AB28" s="579">
        <f>SUM(AB8:AB27)</f>
        <v>7543653.5029555783</v>
      </c>
      <c r="AC28" s="579">
        <f>SUM(AC8:AC27)</f>
        <v>93.022424353604748</v>
      </c>
      <c r="AD28" s="579">
        <f>SUM(AD8:AD27)</f>
        <v>79.14777415991415</v>
      </c>
      <c r="AE28" s="572"/>
    </row>
    <row r="29" spans="3:31" ht="20.25" customHeight="1" x14ac:dyDescent="0.3">
      <c r="C29" s="616" t="s">
        <v>189</v>
      </c>
      <c r="D29" s="615" t="s">
        <v>190</v>
      </c>
      <c r="E29" s="650"/>
      <c r="F29" s="649"/>
      <c r="G29" s="649"/>
      <c r="H29" s="649"/>
      <c r="I29" s="649"/>
      <c r="J29" s="649"/>
      <c r="K29" s="647"/>
      <c r="L29" s="559"/>
      <c r="M29" s="616" t="s">
        <v>189</v>
      </c>
      <c r="N29" s="615" t="s">
        <v>190</v>
      </c>
      <c r="O29" s="650"/>
      <c r="P29" s="649"/>
      <c r="Q29" s="649"/>
      <c r="R29" s="649"/>
      <c r="S29" s="649"/>
      <c r="T29" s="649"/>
      <c r="U29" s="647"/>
      <c r="W29" s="580" t="s">
        <v>189</v>
      </c>
      <c r="X29" s="581" t="s">
        <v>190</v>
      </c>
      <c r="Y29" s="562"/>
      <c r="Z29" s="518"/>
      <c r="AA29" s="518"/>
      <c r="AB29" s="518"/>
      <c r="AC29" s="518"/>
      <c r="AD29" s="518"/>
      <c r="AE29" s="565"/>
    </row>
    <row r="30" spans="3:31" ht="20.25" customHeight="1" x14ac:dyDescent="0.3">
      <c r="C30" s="646"/>
      <c r="D30" s="641" t="s">
        <v>512</v>
      </c>
      <c r="E30" s="650"/>
      <c r="F30" s="649"/>
      <c r="G30" s="649"/>
      <c r="H30" s="649"/>
      <c r="I30" s="649"/>
      <c r="J30" s="649"/>
      <c r="K30" s="647"/>
      <c r="L30" s="559"/>
      <c r="M30" s="646"/>
      <c r="N30" s="597" t="s">
        <v>99</v>
      </c>
      <c r="O30" s="650"/>
      <c r="P30" s="649"/>
      <c r="Q30" s="649"/>
      <c r="R30" s="649"/>
      <c r="S30" s="649"/>
      <c r="T30" s="649"/>
      <c r="U30" s="647"/>
      <c r="W30" s="565"/>
      <c r="X30" s="565"/>
      <c r="Y30" s="562"/>
      <c r="Z30" s="518"/>
      <c r="AA30" s="518"/>
      <c r="AB30" s="518"/>
      <c r="AC30" s="518"/>
      <c r="AD30" s="518"/>
      <c r="AE30" s="565"/>
    </row>
    <row r="31" spans="3:31" ht="57.6" x14ac:dyDescent="0.3">
      <c r="C31" s="652">
        <f>+C27+1</f>
        <v>20</v>
      </c>
      <c r="D31" s="643" t="s">
        <v>323</v>
      </c>
      <c r="E31" s="650" t="s">
        <v>103</v>
      </c>
      <c r="F31" s="649">
        <f>+'Budget R0'!E29</f>
        <v>283.49316450000003</v>
      </c>
      <c r="G31" s="649">
        <f>+'Budget R0'!F29</f>
        <v>21</v>
      </c>
      <c r="H31" s="648">
        <f>+G31*F31</f>
        <v>5953.3564545000008</v>
      </c>
      <c r="I31" s="649">
        <f t="shared" ref="I31" si="20">+H31/H$5</f>
        <v>3.630582428435522E-2</v>
      </c>
      <c r="J31" s="649">
        <f t="shared" ref="J31" si="21">+H31/H$4</f>
        <v>2.9137841953924545E-2</v>
      </c>
      <c r="K31" s="647"/>
      <c r="L31" s="559"/>
      <c r="M31" s="652">
        <f>+M27+1</f>
        <v>20</v>
      </c>
      <c r="N31" s="643" t="s">
        <v>213</v>
      </c>
      <c r="O31" s="650" t="s">
        <v>103</v>
      </c>
      <c r="P31" s="649">
        <v>32413</v>
      </c>
      <c r="Q31" s="649">
        <v>5</v>
      </c>
      <c r="R31" s="648">
        <f>+Q31*P31</f>
        <v>162065</v>
      </c>
      <c r="S31" s="649">
        <f>+R31/R$5</f>
        <v>1.2396640480980319</v>
      </c>
      <c r="T31" s="649">
        <f>+R31/R$4</f>
        <v>0.83025102459016398</v>
      </c>
      <c r="U31" s="647"/>
      <c r="W31" s="573">
        <f>+W27+1</f>
        <v>20</v>
      </c>
      <c r="X31" s="517" t="s">
        <v>501</v>
      </c>
      <c r="Y31" s="562" t="s">
        <v>103</v>
      </c>
      <c r="Z31" s="518"/>
      <c r="AA31" s="518"/>
      <c r="AB31" s="518"/>
      <c r="AC31" s="518"/>
      <c r="AD31" s="518"/>
      <c r="AE31" s="519" t="s">
        <v>500</v>
      </c>
    </row>
    <row r="32" spans="3:31" ht="20.25" customHeight="1" x14ac:dyDescent="0.3">
      <c r="C32" s="652">
        <f t="shared" ref="C32:C37" si="22">+C31+1</f>
        <v>21</v>
      </c>
      <c r="D32" s="643" t="s">
        <v>324</v>
      </c>
      <c r="E32" s="650" t="s">
        <v>103</v>
      </c>
      <c r="F32" s="649">
        <f>+'Budget R0'!E30</f>
        <v>4240.3221134999994</v>
      </c>
      <c r="G32" s="649">
        <f>+'Budget R0'!F30</f>
        <v>21</v>
      </c>
      <c r="H32" s="648">
        <f t="shared" ref="H32:H37" si="23">+G32*F32</f>
        <v>89046.764383499991</v>
      </c>
      <c r="I32" s="649">
        <f t="shared" ref="I32:I37" si="24">+H32/H$5</f>
        <v>0.54304092246215951</v>
      </c>
      <c r="J32" s="649">
        <f t="shared" ref="J32:J37" si="25">+H32/H$4</f>
        <v>0.4358265067688934</v>
      </c>
      <c r="K32" s="647"/>
      <c r="L32" s="559"/>
      <c r="M32" s="646"/>
      <c r="N32" s="641" t="s">
        <v>89</v>
      </c>
      <c r="O32" s="650"/>
      <c r="P32" s="649"/>
      <c r="Q32" s="649"/>
      <c r="R32" s="649"/>
      <c r="S32" s="649"/>
      <c r="T32" s="649"/>
      <c r="U32" s="640" t="s">
        <v>235</v>
      </c>
      <c r="W32" s="577"/>
      <c r="X32" s="582" t="s">
        <v>89</v>
      </c>
      <c r="Y32" s="562"/>
      <c r="Z32" s="518"/>
      <c r="AA32" s="518"/>
      <c r="AB32" s="518"/>
      <c r="AC32" s="518"/>
      <c r="AD32" s="518"/>
      <c r="AE32" s="519" t="s">
        <v>235</v>
      </c>
    </row>
    <row r="33" spans="3:31" ht="20.100000000000001" customHeight="1" x14ac:dyDescent="0.3">
      <c r="C33" s="652">
        <f t="shared" si="22"/>
        <v>22</v>
      </c>
      <c r="D33" s="643" t="s">
        <v>14</v>
      </c>
      <c r="E33" s="650" t="s">
        <v>65</v>
      </c>
      <c r="F33" s="649">
        <f>+'Budget R0'!E31</f>
        <v>0</v>
      </c>
      <c r="G33" s="649">
        <f>+'Budget R0'!F31</f>
        <v>60</v>
      </c>
      <c r="H33" s="648">
        <f t="shared" si="23"/>
        <v>0</v>
      </c>
      <c r="I33" s="649">
        <f t="shared" si="24"/>
        <v>0</v>
      </c>
      <c r="J33" s="649">
        <f t="shared" si="25"/>
        <v>0</v>
      </c>
      <c r="K33" s="647"/>
      <c r="L33" s="559"/>
      <c r="M33" s="652">
        <f>+M31+1</f>
        <v>21</v>
      </c>
      <c r="N33" s="643" t="s">
        <v>237</v>
      </c>
      <c r="O33" s="650" t="s">
        <v>103</v>
      </c>
      <c r="P33" s="649">
        <v>56.500659090909089</v>
      </c>
      <c r="Q33" s="649">
        <v>17</v>
      </c>
      <c r="R33" s="648">
        <f t="shared" ref="R33:R38" si="26">+Q33*P33</f>
        <v>960.51120454545446</v>
      </c>
      <c r="S33" s="649">
        <f t="shared" ref="S33:S38" si="27">+R33/R$5</f>
        <v>7.3471212665926315E-3</v>
      </c>
      <c r="T33" s="649">
        <f t="shared" ref="T33:T38" si="28">+R33/R$4</f>
        <v>4.9206516626304018E-3</v>
      </c>
      <c r="U33" s="647"/>
      <c r="W33" s="573">
        <f>+W27+1</f>
        <v>20</v>
      </c>
      <c r="X33" s="517" t="s">
        <v>323</v>
      </c>
      <c r="Y33" s="562" t="s">
        <v>103</v>
      </c>
      <c r="Z33" s="518">
        <v>2451.9114381732625</v>
      </c>
      <c r="AA33" s="518">
        <v>17</v>
      </c>
      <c r="AB33" s="575">
        <f>+AA33*Z33</f>
        <v>41682.494448945465</v>
      </c>
      <c r="AC33" s="518">
        <f t="shared" ref="AC33:AC38" si="29">+AB33/AB$5</f>
        <v>0.51399586224730831</v>
      </c>
      <c r="AD33" s="518">
        <f t="shared" ref="AD33:AD38" si="30">+AB33/AB$4</f>
        <v>0.43733141451611529</v>
      </c>
      <c r="AE33" s="565"/>
    </row>
    <row r="34" spans="3:31" ht="14.4" x14ac:dyDescent="0.3">
      <c r="C34" s="652">
        <f t="shared" si="22"/>
        <v>23</v>
      </c>
      <c r="D34" s="643" t="s">
        <v>240</v>
      </c>
      <c r="E34" s="650" t="s">
        <v>103</v>
      </c>
      <c r="F34" s="649">
        <f>+'Budget R0'!E32</f>
        <v>34.758750000000006</v>
      </c>
      <c r="G34" s="649">
        <f>+'Budget R0'!F32</f>
        <v>65</v>
      </c>
      <c r="H34" s="648">
        <f t="shared" si="23"/>
        <v>2259.3187500000004</v>
      </c>
      <c r="I34" s="649">
        <f t="shared" si="24"/>
        <v>1.3778182134188735E-2</v>
      </c>
      <c r="J34" s="649">
        <f t="shared" si="25"/>
        <v>1.1057908788793886E-2</v>
      </c>
      <c r="K34" s="647"/>
      <c r="L34" s="559"/>
      <c r="M34" s="652">
        <f>+M33+1</f>
        <v>22</v>
      </c>
      <c r="N34" s="643" t="s">
        <v>238</v>
      </c>
      <c r="O34" s="650" t="s">
        <v>65</v>
      </c>
      <c r="P34" s="649">
        <v>596.75948262600002</v>
      </c>
      <c r="Q34" s="649">
        <v>18</v>
      </c>
      <c r="R34" s="648">
        <f t="shared" si="26"/>
        <v>10741.670687268001</v>
      </c>
      <c r="S34" s="649">
        <f t="shared" si="27"/>
        <v>8.2164952133493466E-2</v>
      </c>
      <c r="T34" s="649">
        <f t="shared" si="28"/>
        <v>5.502905065198771E-2</v>
      </c>
      <c r="U34" s="647"/>
      <c r="W34" s="573">
        <f>+W33+1</f>
        <v>21</v>
      </c>
      <c r="X34" s="517" t="s">
        <v>324</v>
      </c>
      <c r="Y34" s="562" t="s">
        <v>65</v>
      </c>
      <c r="Z34" s="518">
        <v>515.751589588</v>
      </c>
      <c r="AA34" s="518">
        <v>18</v>
      </c>
      <c r="AB34" s="575">
        <f>+AA34*Z34</f>
        <v>9283.5286125839993</v>
      </c>
      <c r="AC34" s="518">
        <f t="shared" si="29"/>
        <v>0.11447720096903631</v>
      </c>
      <c r="AD34" s="518">
        <f t="shared" si="30"/>
        <v>9.7402488826934974E-2</v>
      </c>
      <c r="AE34" s="565"/>
    </row>
    <row r="35" spans="3:31" ht="20.100000000000001" customHeight="1" x14ac:dyDescent="0.3">
      <c r="C35" s="652">
        <f t="shared" si="22"/>
        <v>24</v>
      </c>
      <c r="D35" s="643" t="s">
        <v>239</v>
      </c>
      <c r="E35" s="650" t="s">
        <v>65</v>
      </c>
      <c r="F35" s="649">
        <f>+'Budget R0'!E33</f>
        <v>7.7548755000000007</v>
      </c>
      <c r="G35" s="649">
        <f>+'Budget R0'!F33</f>
        <v>60</v>
      </c>
      <c r="H35" s="648">
        <f t="shared" si="23"/>
        <v>465.29253000000006</v>
      </c>
      <c r="I35" s="649">
        <f t="shared" si="24"/>
        <v>2.8375302174681971E-3</v>
      </c>
      <c r="J35" s="649">
        <f t="shared" si="25"/>
        <v>2.2773069788612796E-3</v>
      </c>
      <c r="K35" s="647"/>
      <c r="L35" s="559"/>
      <c r="M35" s="652">
        <f>+M34+1</f>
        <v>23</v>
      </c>
      <c r="N35" s="643" t="s">
        <v>14</v>
      </c>
      <c r="O35" s="650" t="s">
        <v>65</v>
      </c>
      <c r="P35" s="649">
        <v>2.8221517040000004</v>
      </c>
      <c r="Q35" s="649">
        <v>60</v>
      </c>
      <c r="R35" s="648">
        <f t="shared" si="26"/>
        <v>169.32910224000003</v>
      </c>
      <c r="S35" s="649">
        <f t="shared" si="27"/>
        <v>1.2952284598379906E-3</v>
      </c>
      <c r="T35" s="649">
        <f t="shared" si="28"/>
        <v>8.6746466311475427E-4</v>
      </c>
      <c r="U35" s="647"/>
      <c r="W35" s="573">
        <f>+W34+1</f>
        <v>22</v>
      </c>
      <c r="X35" s="517" t="s">
        <v>14</v>
      </c>
      <c r="Y35" s="562" t="s">
        <v>65</v>
      </c>
      <c r="Z35" s="518">
        <v>3.8574034080000006</v>
      </c>
      <c r="AA35" s="518">
        <v>60</v>
      </c>
      <c r="AB35" s="575">
        <f>+AA35*Z35</f>
        <v>231.44420448000002</v>
      </c>
      <c r="AC35" s="518">
        <f t="shared" si="29"/>
        <v>2.8539885872125286E-3</v>
      </c>
      <c r="AD35" s="518">
        <f t="shared" si="30"/>
        <v>2.4283052793486587E-3</v>
      </c>
      <c r="AE35" s="565"/>
    </row>
    <row r="36" spans="3:31" ht="28.8" x14ac:dyDescent="0.3">
      <c r="C36" s="652">
        <f t="shared" si="22"/>
        <v>25</v>
      </c>
      <c r="D36" s="643" t="s">
        <v>241</v>
      </c>
      <c r="E36" s="650" t="s">
        <v>3</v>
      </c>
      <c r="F36" s="649">
        <f>+'Budget R0'!E34</f>
        <v>3</v>
      </c>
      <c r="G36" s="649">
        <f>+'Budget R0'!F34</f>
        <v>350</v>
      </c>
      <c r="H36" s="648">
        <f t="shared" si="23"/>
        <v>1050</v>
      </c>
      <c r="I36" s="649">
        <f t="shared" si="24"/>
        <v>6.4032980033906992E-3</v>
      </c>
      <c r="J36" s="649">
        <f t="shared" si="25"/>
        <v>5.1390731069857138E-3</v>
      </c>
      <c r="K36" s="647"/>
      <c r="L36" s="559"/>
      <c r="M36" s="652">
        <f>+M35+1</f>
        <v>24</v>
      </c>
      <c r="N36" s="643" t="s">
        <v>240</v>
      </c>
      <c r="O36" s="650" t="s">
        <v>103</v>
      </c>
      <c r="P36" s="649">
        <v>64.680250000000001</v>
      </c>
      <c r="Q36" s="649">
        <v>65</v>
      </c>
      <c r="R36" s="648">
        <f t="shared" si="26"/>
        <v>4204.2162500000004</v>
      </c>
      <c r="S36" s="649">
        <f t="shared" si="27"/>
        <v>3.2158798849563616E-2</v>
      </c>
      <c r="T36" s="649">
        <f t="shared" si="28"/>
        <v>2.1537993084016396E-2</v>
      </c>
      <c r="U36" s="647"/>
      <c r="W36" s="573">
        <f>+W35+1</f>
        <v>23</v>
      </c>
      <c r="X36" s="517" t="s">
        <v>240</v>
      </c>
      <c r="Y36" s="562" t="s">
        <v>103</v>
      </c>
      <c r="Z36" s="518">
        <v>119.64549999999997</v>
      </c>
      <c r="AA36" s="518">
        <v>65</v>
      </c>
      <c r="AB36" s="575">
        <f>+AA36*Z36</f>
        <v>7776.9574999999977</v>
      </c>
      <c r="AC36" s="518">
        <f t="shared" si="29"/>
        <v>9.589934644552682E-2</v>
      </c>
      <c r="AD36" s="518">
        <f t="shared" si="30"/>
        <v>8.15955923240759E-2</v>
      </c>
      <c r="AE36" s="565"/>
    </row>
    <row r="37" spans="3:31" ht="28.8" x14ac:dyDescent="0.3">
      <c r="C37" s="652">
        <f t="shared" si="22"/>
        <v>26</v>
      </c>
      <c r="D37" s="643" t="s">
        <v>509</v>
      </c>
      <c r="E37" s="650" t="s">
        <v>103</v>
      </c>
      <c r="F37" s="649">
        <f>+'Budget R0'!E35</f>
        <v>21531.584000000003</v>
      </c>
      <c r="G37" s="649">
        <f>+'Budget R0'!F35</f>
        <v>3</v>
      </c>
      <c r="H37" s="648">
        <f t="shared" si="23"/>
        <v>64594.752000000008</v>
      </c>
      <c r="I37" s="649">
        <f t="shared" si="24"/>
        <v>0.3939232823915404</v>
      </c>
      <c r="J37" s="649">
        <f t="shared" si="25"/>
        <v>0.31614966938629679</v>
      </c>
      <c r="K37" s="647"/>
      <c r="L37" s="559"/>
      <c r="M37" s="652">
        <f>+M36+1</f>
        <v>25</v>
      </c>
      <c r="N37" s="643" t="s">
        <v>239</v>
      </c>
      <c r="O37" s="650" t="s">
        <v>65</v>
      </c>
      <c r="P37" s="649">
        <v>13.7714035</v>
      </c>
      <c r="Q37" s="649">
        <v>60</v>
      </c>
      <c r="R37" s="648">
        <f t="shared" si="26"/>
        <v>826.28421000000003</v>
      </c>
      <c r="S37" s="649">
        <f t="shared" si="27"/>
        <v>6.3203950800486486E-3</v>
      </c>
      <c r="T37" s="649">
        <f t="shared" si="28"/>
        <v>4.2330133709016391E-3</v>
      </c>
      <c r="U37" s="647"/>
      <c r="W37" s="573">
        <f>+W36+1</f>
        <v>24</v>
      </c>
      <c r="X37" s="517" t="s">
        <v>239</v>
      </c>
      <c r="Y37" s="562" t="s">
        <v>65</v>
      </c>
      <c r="Z37" s="518">
        <v>17.796362500000001</v>
      </c>
      <c r="AA37" s="518">
        <v>60</v>
      </c>
      <c r="AB37" s="575">
        <f t="shared" ref="AB37:AB38" si="31">+AA37*Z37</f>
        <v>1067.7817500000001</v>
      </c>
      <c r="AC37" s="518">
        <f t="shared" si="29"/>
        <v>1.3167047906776004E-2</v>
      </c>
      <c r="AD37" s="518">
        <f t="shared" si="30"/>
        <v>1.1203132377165281E-2</v>
      </c>
      <c r="AE37" s="565"/>
    </row>
    <row r="38" spans="3:31" ht="28.8" x14ac:dyDescent="0.3">
      <c r="C38" s="646"/>
      <c r="D38" s="605"/>
      <c r="E38" s="604"/>
      <c r="F38" s="604"/>
      <c r="G38" s="604"/>
      <c r="H38" s="648"/>
      <c r="I38" s="649"/>
      <c r="J38" s="649"/>
      <c r="K38" s="647"/>
      <c r="L38" s="559"/>
      <c r="M38" s="652">
        <f>+M37+1</f>
        <v>26</v>
      </c>
      <c r="N38" s="643" t="s">
        <v>241</v>
      </c>
      <c r="O38" s="650" t="s">
        <v>3</v>
      </c>
      <c r="P38" s="649">
        <v>0</v>
      </c>
      <c r="Q38" s="649">
        <v>350</v>
      </c>
      <c r="R38" s="648">
        <f t="shared" si="26"/>
        <v>0</v>
      </c>
      <c r="S38" s="649">
        <f t="shared" si="27"/>
        <v>0</v>
      </c>
      <c r="T38" s="649">
        <f t="shared" si="28"/>
        <v>0</v>
      </c>
      <c r="U38" s="640" t="s">
        <v>490</v>
      </c>
      <c r="W38" s="573">
        <f>+W37+1</f>
        <v>25</v>
      </c>
      <c r="X38" s="517" t="s">
        <v>241</v>
      </c>
      <c r="Y38" s="562" t="s">
        <v>3</v>
      </c>
      <c r="Z38" s="518">
        <v>8</v>
      </c>
      <c r="AA38" s="518">
        <v>350</v>
      </c>
      <c r="AB38" s="575">
        <f t="shared" si="31"/>
        <v>2800</v>
      </c>
      <c r="AC38" s="518">
        <f t="shared" si="29"/>
        <v>3.4527406128614588E-2</v>
      </c>
      <c r="AD38" s="518">
        <f t="shared" si="30"/>
        <v>2.9377511514935319E-2</v>
      </c>
      <c r="AE38" s="519" t="s">
        <v>244</v>
      </c>
    </row>
    <row r="39" spans="3:31" ht="20.100000000000001" customHeight="1" x14ac:dyDescent="0.3">
      <c r="C39" s="646"/>
      <c r="D39" s="641" t="s">
        <v>516</v>
      </c>
      <c r="E39" s="650"/>
      <c r="F39" s="649"/>
      <c r="G39" s="649"/>
      <c r="H39" s="648"/>
      <c r="I39" s="649"/>
      <c r="J39" s="649"/>
      <c r="K39" s="647"/>
      <c r="L39" s="559"/>
      <c r="M39" s="646"/>
      <c r="N39" s="641" t="s">
        <v>236</v>
      </c>
      <c r="O39" s="650"/>
      <c r="P39" s="649"/>
      <c r="Q39" s="649"/>
      <c r="R39" s="649"/>
      <c r="S39" s="649"/>
      <c r="T39" s="649"/>
      <c r="U39" s="640" t="s">
        <v>235</v>
      </c>
      <c r="W39" s="577"/>
      <c r="X39" s="582" t="s">
        <v>504</v>
      </c>
      <c r="Y39" s="562"/>
      <c r="Z39" s="583"/>
      <c r="AA39" s="518"/>
      <c r="AB39" s="575"/>
      <c r="AC39" s="518"/>
      <c r="AD39" s="518"/>
      <c r="AE39" s="565"/>
    </row>
    <row r="40" spans="3:31" ht="100.8" x14ac:dyDescent="0.3">
      <c r="C40" s="652">
        <f>+C37+1</f>
        <v>27</v>
      </c>
      <c r="D40" s="643" t="s">
        <v>323</v>
      </c>
      <c r="E40" s="650" t="s">
        <v>103</v>
      </c>
      <c r="F40" s="649">
        <f>+'Budget R0'!E38</f>
        <v>338.58410732436369</v>
      </c>
      <c r="G40" s="649">
        <f>+'Budget R0'!F38</f>
        <v>21</v>
      </c>
      <c r="H40" s="648">
        <f t="shared" ref="H40" si="32">+G40*F40</f>
        <v>7110.2662538116374</v>
      </c>
      <c r="I40" s="649">
        <f t="shared" ref="I40" si="33">+H40/H$5</f>
        <v>4.3361098768198401E-2</v>
      </c>
      <c r="J40" s="649">
        <f t="shared" ref="J40" si="34">+H40/H$4</f>
        <v>3.4800169608068039E-2</v>
      </c>
      <c r="K40" s="647"/>
      <c r="L40" s="559"/>
      <c r="M40" s="652">
        <f>+M38+1</f>
        <v>27</v>
      </c>
      <c r="N40" s="643" t="s">
        <v>323</v>
      </c>
      <c r="O40" s="650" t="s">
        <v>103</v>
      </c>
      <c r="P40" s="649">
        <v>3901.3163476449199</v>
      </c>
      <c r="Q40" s="649">
        <v>17</v>
      </c>
      <c r="R40" s="648">
        <f>+Q40*P40</f>
        <v>66322.377909963645</v>
      </c>
      <c r="S40" s="649">
        <f t="shared" ref="S40:S45" si="35">+R40/R$5</f>
        <v>0.50731168037116603</v>
      </c>
      <c r="T40" s="649">
        <f t="shared" ref="T40:T45" si="36">+R40/R$4</f>
        <v>0.33976628027645311</v>
      </c>
      <c r="U40" s="647"/>
      <c r="W40" s="652">
        <f>+W38+1</f>
        <v>26</v>
      </c>
      <c r="X40" s="651" t="s">
        <v>325</v>
      </c>
      <c r="Y40" s="650" t="s">
        <v>103</v>
      </c>
      <c r="Z40" s="649">
        <v>78475</v>
      </c>
      <c r="AA40" s="649">
        <v>47</v>
      </c>
      <c r="AB40" s="648">
        <f>+AA40*Z40</f>
        <v>3688325</v>
      </c>
      <c r="AC40" s="649">
        <f t="shared" ref="AC40" si="37">+AB40/AB$5</f>
        <v>45.481534003329429</v>
      </c>
      <c r="AD40" s="649">
        <f t="shared" ref="AD40" si="38">+AB40/AB$4</f>
        <v>38.697789342258503</v>
      </c>
      <c r="AE40" s="647"/>
    </row>
    <row r="41" spans="3:31" ht="22.5" customHeight="1" x14ac:dyDescent="0.3">
      <c r="C41" s="652">
        <f t="shared" ref="C41:C46" si="39">+C40+1</f>
        <v>28</v>
      </c>
      <c r="D41" s="643" t="s">
        <v>324</v>
      </c>
      <c r="E41" s="650" t="s">
        <v>103</v>
      </c>
      <c r="F41" s="649">
        <f>+'Budget R0'!E39</f>
        <v>13395.468309808</v>
      </c>
      <c r="G41" s="649">
        <f>+'Budget R0'!F39</f>
        <v>21</v>
      </c>
      <c r="H41" s="648">
        <f t="shared" ref="H41:H68" si="40">+G41*F41</f>
        <v>281304.83450596803</v>
      </c>
      <c r="I41" s="649">
        <f t="shared" ref="I41:I68" si="41">+H41/H$5</f>
        <v>1.7155035096535391</v>
      </c>
      <c r="J41" s="649">
        <f t="shared" ref="J41:J68" si="42">+H41/H$4</f>
        <v>1.3768058189282735</v>
      </c>
      <c r="K41" s="647"/>
      <c r="L41" s="559"/>
      <c r="M41" s="652">
        <f>+M40+1</f>
        <v>28</v>
      </c>
      <c r="N41" s="643" t="s">
        <v>238</v>
      </c>
      <c r="O41" s="650" t="s">
        <v>65</v>
      </c>
      <c r="P41" s="649">
        <v>613.93832775600015</v>
      </c>
      <c r="Q41" s="649">
        <v>18</v>
      </c>
      <c r="R41" s="648">
        <f>+Q41*P41</f>
        <v>11050.889899608002</v>
      </c>
      <c r="S41" s="649">
        <f t="shared" si="35"/>
        <v>8.4530224959329339E-2</v>
      </c>
      <c r="T41" s="649">
        <f t="shared" si="36"/>
        <v>5.6613165469303291E-2</v>
      </c>
      <c r="U41" s="647"/>
      <c r="W41" s="646"/>
      <c r="X41" s="646"/>
      <c r="Y41" s="650"/>
      <c r="Z41" s="645"/>
      <c r="AA41" s="649"/>
      <c r="AB41" s="648"/>
      <c r="AC41" s="649"/>
      <c r="AD41" s="649"/>
      <c r="AE41" s="644"/>
    </row>
    <row r="42" spans="3:31" ht="19.5" customHeight="1" x14ac:dyDescent="0.3">
      <c r="C42" s="652">
        <f t="shared" si="39"/>
        <v>29</v>
      </c>
      <c r="D42" s="643" t="s">
        <v>14</v>
      </c>
      <c r="E42" s="650" t="s">
        <v>65</v>
      </c>
      <c r="F42" s="649">
        <f>+'Budget R0'!E40</f>
        <v>35.163613687000009</v>
      </c>
      <c r="G42" s="649">
        <f>+'Budget R0'!F40</f>
        <v>60</v>
      </c>
      <c r="H42" s="648">
        <f t="shared" si="40"/>
        <v>2109.8168212200007</v>
      </c>
      <c r="I42" s="649">
        <f t="shared" si="41"/>
        <v>1.2866462703655372E-2</v>
      </c>
      <c r="J42" s="649">
        <f t="shared" si="42"/>
        <v>1.0326193225331229E-2</v>
      </c>
      <c r="K42" s="647"/>
      <c r="L42" s="559"/>
      <c r="M42" s="652">
        <f>+M41+1</f>
        <v>29</v>
      </c>
      <c r="N42" s="643" t="s">
        <v>14</v>
      </c>
      <c r="O42" s="650" t="s">
        <v>65</v>
      </c>
      <c r="P42" s="649">
        <v>9.5691006680000008</v>
      </c>
      <c r="Q42" s="649">
        <v>60</v>
      </c>
      <c r="R42" s="648">
        <f>+Q42*P42</f>
        <v>574.14604008000003</v>
      </c>
      <c r="S42" s="649">
        <f t="shared" si="35"/>
        <v>4.3917453135780566E-3</v>
      </c>
      <c r="T42" s="649">
        <f t="shared" si="36"/>
        <v>2.9413219266393445E-3</v>
      </c>
      <c r="U42" s="647"/>
      <c r="W42" s="652"/>
      <c r="X42" s="651"/>
      <c r="Y42" s="650"/>
      <c r="Z42" s="649"/>
      <c r="AA42" s="649"/>
      <c r="AB42" s="648"/>
      <c r="AC42" s="649"/>
      <c r="AD42" s="649"/>
      <c r="AE42" s="644"/>
    </row>
    <row r="43" spans="3:31" ht="14.4" x14ac:dyDescent="0.3">
      <c r="C43" s="652">
        <f t="shared" si="39"/>
        <v>30</v>
      </c>
      <c r="D43" s="643" t="s">
        <v>240</v>
      </c>
      <c r="E43" s="650" t="s">
        <v>103</v>
      </c>
      <c r="F43" s="649">
        <f>+'Budget R0'!E41</f>
        <v>764.74193332699997</v>
      </c>
      <c r="G43" s="649">
        <f>+'Budget R0'!F41</f>
        <v>65</v>
      </c>
      <c r="H43" s="648">
        <f t="shared" si="40"/>
        <v>49708.225666254999</v>
      </c>
      <c r="I43" s="649">
        <f t="shared" si="41"/>
        <v>0.3031396020579285</v>
      </c>
      <c r="J43" s="649">
        <f t="shared" si="42"/>
        <v>0.24328971973088387</v>
      </c>
      <c r="K43" s="647"/>
      <c r="L43" s="559"/>
      <c r="M43" s="652">
        <f>+M42+1</f>
        <v>30</v>
      </c>
      <c r="N43" s="643" t="s">
        <v>240</v>
      </c>
      <c r="O43" s="650" t="s">
        <v>103</v>
      </c>
      <c r="P43" s="649">
        <v>149.65825000000001</v>
      </c>
      <c r="Q43" s="649">
        <v>65</v>
      </c>
      <c r="R43" s="648">
        <f>+Q43*P43</f>
        <v>9727.786250000001</v>
      </c>
      <c r="S43" s="649">
        <f t="shared" si="35"/>
        <v>7.440956950425677E-2</v>
      </c>
      <c r="T43" s="649">
        <f t="shared" si="36"/>
        <v>4.9834970543032792E-2</v>
      </c>
      <c r="U43" s="647"/>
      <c r="W43" s="652"/>
      <c r="X43" s="643"/>
      <c r="Y43" s="650"/>
      <c r="Z43" s="649"/>
      <c r="AA43" s="649"/>
      <c r="AB43" s="648"/>
      <c r="AC43" s="649"/>
      <c r="AD43" s="649"/>
      <c r="AE43" s="644"/>
    </row>
    <row r="44" spans="3:31" ht="21" customHeight="1" x14ac:dyDescent="0.3">
      <c r="C44" s="652">
        <f t="shared" si="39"/>
        <v>31</v>
      </c>
      <c r="D44" s="643" t="s">
        <v>239</v>
      </c>
      <c r="E44" s="650" t="s">
        <v>65</v>
      </c>
      <c r="F44" s="649">
        <f>+'Budget R0'!E42</f>
        <v>159.95586966349998</v>
      </c>
      <c r="G44" s="649">
        <f>+'Budget R0'!F42</f>
        <v>60</v>
      </c>
      <c r="H44" s="648">
        <f t="shared" si="40"/>
        <v>9597.3521798099991</v>
      </c>
      <c r="I44" s="649">
        <f t="shared" si="41"/>
        <v>5.8528291476966414E-2</v>
      </c>
      <c r="J44" s="649">
        <f t="shared" si="42"/>
        <v>4.6972851890983124E-2</v>
      </c>
      <c r="K44" s="647"/>
      <c r="L44" s="559"/>
      <c r="M44" s="652">
        <f>+M43+1</f>
        <v>31</v>
      </c>
      <c r="N44" s="643" t="s">
        <v>239</v>
      </c>
      <c r="O44" s="650" t="s">
        <v>65</v>
      </c>
      <c r="P44" s="649">
        <v>25.094571000000002</v>
      </c>
      <c r="Q44" s="649">
        <v>60</v>
      </c>
      <c r="R44" s="648">
        <f t="shared" ref="R44:R45" si="43">+Q44*P44</f>
        <v>1505.6742600000002</v>
      </c>
      <c r="S44" s="649">
        <f t="shared" si="35"/>
        <v>1.1517170569022361E-2</v>
      </c>
      <c r="T44" s="649">
        <f t="shared" si="36"/>
        <v>7.7134951844262303E-3</v>
      </c>
      <c r="U44" s="647"/>
      <c r="W44" s="652"/>
      <c r="X44" s="643"/>
      <c r="Y44" s="650"/>
      <c r="Z44" s="649"/>
      <c r="AA44" s="649"/>
      <c r="AB44" s="648"/>
      <c r="AC44" s="649"/>
      <c r="AD44" s="649"/>
      <c r="AE44" s="644"/>
    </row>
    <row r="45" spans="3:31" ht="43.2" x14ac:dyDescent="0.3">
      <c r="C45" s="652">
        <f t="shared" si="39"/>
        <v>32</v>
      </c>
      <c r="D45" s="643" t="s">
        <v>241</v>
      </c>
      <c r="E45" s="650" t="s">
        <v>3</v>
      </c>
      <c r="F45" s="649">
        <f>+'Budget R0'!E43</f>
        <v>6</v>
      </c>
      <c r="G45" s="649">
        <f>+'Budget R0'!F43</f>
        <v>350</v>
      </c>
      <c r="H45" s="648">
        <f t="shared" si="40"/>
        <v>2100</v>
      </c>
      <c r="I45" s="649">
        <f t="shared" si="41"/>
        <v>1.2806596006781398E-2</v>
      </c>
      <c r="J45" s="649">
        <f t="shared" si="42"/>
        <v>1.0278146213971428E-2</v>
      </c>
      <c r="K45" s="647"/>
      <c r="L45" s="559"/>
      <c r="M45" s="652">
        <f>+M44+1</f>
        <v>32</v>
      </c>
      <c r="N45" s="643" t="s">
        <v>241</v>
      </c>
      <c r="O45" s="650" t="s">
        <v>3</v>
      </c>
      <c r="P45" s="649">
        <v>0</v>
      </c>
      <c r="Q45" s="649">
        <v>350</v>
      </c>
      <c r="R45" s="648">
        <f t="shared" si="43"/>
        <v>0</v>
      </c>
      <c r="S45" s="649">
        <f t="shared" si="35"/>
        <v>0</v>
      </c>
      <c r="T45" s="649">
        <f t="shared" si="36"/>
        <v>0</v>
      </c>
      <c r="U45" s="640" t="s">
        <v>245</v>
      </c>
      <c r="W45" s="642"/>
      <c r="X45" s="642"/>
      <c r="Y45" s="642"/>
      <c r="Z45" s="645"/>
      <c r="AA45" s="649"/>
      <c r="AB45" s="648"/>
      <c r="AC45" s="649"/>
      <c r="AD45" s="649"/>
      <c r="AE45" s="647"/>
    </row>
    <row r="46" spans="3:31" ht="28.8" x14ac:dyDescent="0.3">
      <c r="C46" s="652">
        <f t="shared" si="39"/>
        <v>33</v>
      </c>
      <c r="D46" s="643" t="s">
        <v>509</v>
      </c>
      <c r="E46" s="650" t="s">
        <v>103</v>
      </c>
      <c r="F46" s="649">
        <f>+'Budget R0'!E44</f>
        <v>22596.416481402011</v>
      </c>
      <c r="G46" s="649">
        <f>+'Budget R0'!F44</f>
        <v>3</v>
      </c>
      <c r="H46" s="648">
        <f t="shared" si="40"/>
        <v>67789.249444206042</v>
      </c>
      <c r="I46" s="649">
        <f t="shared" si="41"/>
        <v>0.41340453868327481</v>
      </c>
      <c r="J46" s="649">
        <f t="shared" si="42"/>
        <v>0.33178467501091952</v>
      </c>
      <c r="K46" s="647"/>
      <c r="L46" s="559"/>
      <c r="M46" s="642"/>
      <c r="N46" s="642"/>
      <c r="O46" s="645"/>
      <c r="P46" s="645"/>
      <c r="Q46" s="653"/>
      <c r="R46" s="653"/>
      <c r="S46" s="653"/>
      <c r="T46" s="653"/>
      <c r="U46" s="639"/>
      <c r="W46" s="642"/>
      <c r="X46" s="642"/>
      <c r="Y46" s="642"/>
      <c r="Z46" s="649">
        <f>+[7]WO!Z85</f>
        <v>0</v>
      </c>
      <c r="AA46" s="649">
        <f>+[7]WO!AA85/2</f>
        <v>0</v>
      </c>
      <c r="AB46" s="648">
        <f>+AA46*Z46</f>
        <v>0</v>
      </c>
      <c r="AC46" s="649">
        <f>+AB46/AB$5</f>
        <v>0</v>
      </c>
      <c r="AD46" s="649">
        <f>+AB46/AB$4</f>
        <v>0</v>
      </c>
      <c r="AE46" s="647"/>
    </row>
    <row r="47" spans="3:31" ht="16.5" customHeight="1" x14ac:dyDescent="0.3">
      <c r="C47" s="646"/>
      <c r="D47" s="641" t="s">
        <v>510</v>
      </c>
      <c r="E47" s="650"/>
      <c r="F47" s="649"/>
      <c r="G47" s="649"/>
      <c r="H47" s="648">
        <f t="shared" si="40"/>
        <v>0</v>
      </c>
      <c r="I47" s="649">
        <f t="shared" si="41"/>
        <v>0</v>
      </c>
      <c r="J47" s="649">
        <f t="shared" si="42"/>
        <v>0</v>
      </c>
      <c r="K47" s="637"/>
      <c r="L47" s="559"/>
      <c r="M47" s="642"/>
      <c r="N47" s="642"/>
      <c r="O47" s="645"/>
      <c r="P47" s="645"/>
      <c r="Q47" s="653"/>
      <c r="R47" s="653"/>
      <c r="S47" s="653"/>
      <c r="T47" s="653"/>
      <c r="U47" s="639"/>
      <c r="W47" s="642"/>
      <c r="X47" s="642"/>
      <c r="Y47" s="642"/>
      <c r="Z47" s="642"/>
      <c r="AA47" s="642"/>
      <c r="AB47" s="642"/>
      <c r="AC47" s="642"/>
      <c r="AD47" s="642"/>
      <c r="AE47" s="642"/>
    </row>
    <row r="48" spans="3:31" ht="20.100000000000001" customHeight="1" x14ac:dyDescent="0.3">
      <c r="C48" s="652">
        <f>+C45+1</f>
        <v>33</v>
      </c>
      <c r="D48" s="643" t="s">
        <v>323</v>
      </c>
      <c r="E48" s="650" t="s">
        <v>103</v>
      </c>
      <c r="F48" s="649">
        <f>+'Budget R0'!E47</f>
        <v>338.64863147036368</v>
      </c>
      <c r="G48" s="649">
        <f>+'Budget R0'!F47</f>
        <v>22</v>
      </c>
      <c r="H48" s="648">
        <f t="shared" si="40"/>
        <v>7450.2698923480011</v>
      </c>
      <c r="I48" s="649">
        <f t="shared" si="41"/>
        <v>4.5434569834660751E-2</v>
      </c>
      <c r="J48" s="649">
        <f t="shared" si="42"/>
        <v>3.6464268231953291E-2</v>
      </c>
      <c r="K48" s="637"/>
      <c r="L48" s="559"/>
      <c r="M48" s="642"/>
      <c r="N48" s="642"/>
      <c r="O48" s="645"/>
      <c r="P48" s="645"/>
      <c r="Q48" s="653"/>
      <c r="R48" s="653"/>
      <c r="S48" s="653"/>
      <c r="T48" s="653"/>
      <c r="U48" s="639"/>
      <c r="W48" s="642"/>
      <c r="X48" s="642"/>
      <c r="Y48" s="642"/>
      <c r="Z48" s="642"/>
      <c r="AA48" s="642"/>
      <c r="AB48" s="642"/>
      <c r="AC48" s="642"/>
      <c r="AD48" s="642"/>
      <c r="AE48" s="642"/>
    </row>
    <row r="49" spans="3:31" ht="22.5" customHeight="1" x14ac:dyDescent="0.3">
      <c r="C49" s="652">
        <f t="shared" ref="C49:C54" si="44">+C48+1</f>
        <v>34</v>
      </c>
      <c r="D49" s="643" t="s">
        <v>324</v>
      </c>
      <c r="E49" s="650" t="s">
        <v>103</v>
      </c>
      <c r="F49" s="649">
        <f>+'Budget R0'!E48</f>
        <v>13672.551981664004</v>
      </c>
      <c r="G49" s="649">
        <f>+'Budget R0'!F48</f>
        <v>22</v>
      </c>
      <c r="H49" s="648">
        <f t="shared" si="40"/>
        <v>300796.14359660808</v>
      </c>
      <c r="I49" s="649">
        <f t="shared" si="41"/>
        <v>1.8343689006855071</v>
      </c>
      <c r="J49" s="649">
        <f t="shared" si="42"/>
        <v>1.4722032116593728</v>
      </c>
      <c r="K49" s="637"/>
      <c r="L49" s="559"/>
      <c r="M49" s="646"/>
      <c r="N49" s="714"/>
      <c r="O49" s="715"/>
      <c r="P49" s="715"/>
      <c r="Q49" s="715"/>
      <c r="R49" s="638"/>
      <c r="S49" s="638"/>
      <c r="T49" s="638"/>
      <c r="U49" s="637"/>
      <c r="W49" s="642"/>
      <c r="X49" s="642"/>
      <c r="Y49" s="642"/>
      <c r="Z49" s="642"/>
      <c r="AA49" s="642"/>
      <c r="AB49" s="642"/>
      <c r="AC49" s="642"/>
      <c r="AD49" s="642"/>
      <c r="AE49" s="642"/>
    </row>
    <row r="50" spans="3:31" ht="19.5" customHeight="1" x14ac:dyDescent="0.3">
      <c r="C50" s="652">
        <f t="shared" si="44"/>
        <v>35</v>
      </c>
      <c r="D50" s="643" t="s">
        <v>14</v>
      </c>
      <c r="E50" s="650" t="s">
        <v>65</v>
      </c>
      <c r="F50" s="649">
        <f>+'Budget R0'!E49</f>
        <v>33.938223298000004</v>
      </c>
      <c r="G50" s="649">
        <f>+'Budget R0'!F49</f>
        <v>60</v>
      </c>
      <c r="H50" s="648">
        <f t="shared" si="40"/>
        <v>2036.2933978800002</v>
      </c>
      <c r="I50" s="649">
        <f t="shared" si="41"/>
        <v>1.2418088999012063E-2</v>
      </c>
      <c r="J50" s="649">
        <f t="shared" si="42"/>
        <v>9.9663434656930162E-3</v>
      </c>
      <c r="K50" s="637"/>
      <c r="L50" s="559"/>
      <c r="M50" s="642"/>
      <c r="N50" s="642"/>
      <c r="O50" s="645"/>
      <c r="P50" s="645"/>
      <c r="Q50" s="653"/>
      <c r="R50" s="653"/>
      <c r="S50" s="653"/>
      <c r="T50" s="653"/>
      <c r="U50" s="639"/>
      <c r="W50" s="642"/>
      <c r="X50" s="642"/>
      <c r="Y50" s="642"/>
      <c r="Z50" s="642"/>
      <c r="AA50" s="642"/>
      <c r="AB50" s="642"/>
      <c r="AC50" s="642"/>
      <c r="AD50" s="642"/>
      <c r="AE50" s="642"/>
    </row>
    <row r="51" spans="3:31" ht="14.4" x14ac:dyDescent="0.3">
      <c r="C51" s="652">
        <f t="shared" si="44"/>
        <v>36</v>
      </c>
      <c r="D51" s="643" t="s">
        <v>240</v>
      </c>
      <c r="E51" s="650" t="s">
        <v>103</v>
      </c>
      <c r="F51" s="649">
        <f>+'Budget R0'!E50</f>
        <v>693.7359486229999</v>
      </c>
      <c r="G51" s="649">
        <f>+'Budget R0'!F50</f>
        <v>65</v>
      </c>
      <c r="H51" s="648">
        <f t="shared" si="40"/>
        <v>45092.836660494992</v>
      </c>
      <c r="I51" s="649">
        <f t="shared" si="41"/>
        <v>0.27499321043368619</v>
      </c>
      <c r="J51" s="649">
        <f t="shared" si="42"/>
        <v>0.22070036590442788</v>
      </c>
      <c r="K51" s="637"/>
      <c r="L51" s="559"/>
      <c r="M51" s="642"/>
      <c r="N51" s="642"/>
      <c r="O51" s="645"/>
      <c r="P51" s="645"/>
      <c r="Q51" s="653"/>
      <c r="R51" s="653"/>
      <c r="S51" s="653"/>
      <c r="T51" s="653"/>
      <c r="U51" s="639"/>
      <c r="W51" s="642"/>
      <c r="X51" s="642"/>
      <c r="Y51" s="642"/>
      <c r="Z51" s="642"/>
      <c r="AA51" s="642"/>
      <c r="AB51" s="642"/>
      <c r="AC51" s="642"/>
      <c r="AD51" s="642"/>
      <c r="AE51" s="642"/>
    </row>
    <row r="52" spans="3:31" ht="19.5" customHeight="1" x14ac:dyDescent="0.3">
      <c r="C52" s="652">
        <f t="shared" si="44"/>
        <v>37</v>
      </c>
      <c r="D52" s="643" t="s">
        <v>239</v>
      </c>
      <c r="E52" s="650" t="s">
        <v>65</v>
      </c>
      <c r="F52" s="649">
        <f>+'Budget R0'!E51</f>
        <v>145.0383773115</v>
      </c>
      <c r="G52" s="649">
        <f>+'Budget R0'!F51</f>
        <v>60</v>
      </c>
      <c r="H52" s="648">
        <f t="shared" si="40"/>
        <v>8702.3026386900001</v>
      </c>
      <c r="I52" s="649">
        <f t="shared" si="41"/>
        <v>5.3069940105928845E-2</v>
      </c>
      <c r="J52" s="649">
        <f t="shared" si="42"/>
        <v>4.2592161389850086E-2</v>
      </c>
      <c r="K52" s="637"/>
      <c r="L52" s="559"/>
      <c r="M52" s="642"/>
      <c r="N52" s="642"/>
      <c r="O52" s="645"/>
      <c r="P52" s="645"/>
      <c r="Q52" s="653"/>
      <c r="R52" s="653"/>
      <c r="S52" s="653"/>
      <c r="T52" s="653"/>
      <c r="U52" s="639"/>
      <c r="W52" s="642"/>
      <c r="X52" s="642"/>
      <c r="Y52" s="642"/>
      <c r="Z52" s="642"/>
      <c r="AA52" s="642"/>
      <c r="AB52" s="642"/>
      <c r="AC52" s="642"/>
      <c r="AD52" s="642"/>
      <c r="AE52" s="642"/>
    </row>
    <row r="53" spans="3:31" ht="28.8" x14ac:dyDescent="0.3">
      <c r="C53" s="652">
        <f t="shared" si="44"/>
        <v>38</v>
      </c>
      <c r="D53" s="643" t="s">
        <v>241</v>
      </c>
      <c r="E53" s="650" t="s">
        <v>3</v>
      </c>
      <c r="F53" s="649">
        <f>+'Budget R0'!E52</f>
        <v>6</v>
      </c>
      <c r="G53" s="649">
        <f>+'Budget R0'!F52</f>
        <v>350</v>
      </c>
      <c r="H53" s="648">
        <f t="shared" si="40"/>
        <v>2100</v>
      </c>
      <c r="I53" s="649">
        <f t="shared" si="41"/>
        <v>1.2806596006781398E-2</v>
      </c>
      <c r="J53" s="649">
        <f t="shared" si="42"/>
        <v>1.0278146213971428E-2</v>
      </c>
      <c r="K53" s="637"/>
      <c r="L53" s="559"/>
      <c r="M53" s="642"/>
      <c r="N53" s="642"/>
      <c r="O53" s="645"/>
      <c r="P53" s="645"/>
      <c r="Q53" s="653"/>
      <c r="R53" s="653"/>
      <c r="S53" s="653"/>
      <c r="T53" s="653"/>
      <c r="U53" s="639"/>
      <c r="W53" s="642"/>
      <c r="X53" s="642"/>
      <c r="Y53" s="642"/>
      <c r="Z53" s="642"/>
      <c r="AA53" s="642"/>
      <c r="AB53" s="642"/>
      <c r="AC53" s="642"/>
      <c r="AD53" s="642"/>
      <c r="AE53" s="642"/>
    </row>
    <row r="54" spans="3:31" ht="28.8" x14ac:dyDescent="0.3">
      <c r="C54" s="652">
        <f t="shared" si="44"/>
        <v>39</v>
      </c>
      <c r="D54" s="643" t="s">
        <v>509</v>
      </c>
      <c r="E54" s="650" t="s">
        <v>103</v>
      </c>
      <c r="F54" s="649">
        <f>+'Budget R0'!E53</f>
        <v>22596.416481402011</v>
      </c>
      <c r="G54" s="649">
        <f>+'Budget R0'!F53</f>
        <v>3</v>
      </c>
      <c r="H54" s="648">
        <f t="shared" si="40"/>
        <v>67789.249444206042</v>
      </c>
      <c r="I54" s="649">
        <f t="shared" si="41"/>
        <v>0.41340453868327481</v>
      </c>
      <c r="J54" s="649">
        <f t="shared" si="42"/>
        <v>0.33178467501091952</v>
      </c>
      <c r="K54" s="639"/>
      <c r="L54" s="559"/>
      <c r="M54" s="642"/>
      <c r="N54" s="642"/>
      <c r="O54" s="645"/>
      <c r="P54" s="645"/>
      <c r="Q54" s="653"/>
      <c r="R54" s="653"/>
      <c r="S54" s="653"/>
      <c r="T54" s="653"/>
      <c r="U54" s="639"/>
      <c r="W54" s="642"/>
      <c r="X54" s="642"/>
      <c r="Y54" s="642"/>
      <c r="Z54" s="642"/>
      <c r="AA54" s="642"/>
      <c r="AB54" s="642"/>
      <c r="AC54" s="642"/>
      <c r="AD54" s="642"/>
      <c r="AE54" s="642"/>
    </row>
    <row r="55" spans="3:31" ht="19.5" customHeight="1" x14ac:dyDescent="0.3">
      <c r="C55" s="646"/>
      <c r="D55" s="641" t="s">
        <v>517</v>
      </c>
      <c r="E55" s="650"/>
      <c r="F55" s="649"/>
      <c r="G55" s="649"/>
      <c r="H55" s="648">
        <f t="shared" si="40"/>
        <v>0</v>
      </c>
      <c r="I55" s="649">
        <f t="shared" si="41"/>
        <v>0</v>
      </c>
      <c r="J55" s="649">
        <f t="shared" si="42"/>
        <v>0</v>
      </c>
      <c r="K55" s="639"/>
      <c r="L55" s="559"/>
      <c r="M55" s="646"/>
      <c r="N55" s="641" t="s">
        <v>234</v>
      </c>
      <c r="O55" s="650"/>
      <c r="P55" s="645"/>
      <c r="Q55" s="649"/>
      <c r="R55" s="648"/>
      <c r="S55" s="649"/>
      <c r="T55" s="649"/>
      <c r="U55" s="647"/>
      <c r="W55" s="642"/>
      <c r="X55" s="642"/>
      <c r="Y55" s="642"/>
      <c r="Z55" s="642"/>
      <c r="AA55" s="642"/>
      <c r="AB55" s="642"/>
      <c r="AC55" s="642"/>
      <c r="AD55" s="642"/>
      <c r="AE55" s="642"/>
    </row>
    <row r="56" spans="3:31" ht="86.4" x14ac:dyDescent="0.3">
      <c r="C56" s="652">
        <f>+C53+1</f>
        <v>39</v>
      </c>
      <c r="D56" s="643" t="s">
        <v>323</v>
      </c>
      <c r="E56" s="650" t="s">
        <v>103</v>
      </c>
      <c r="F56" s="649">
        <f>+'Budget R0'!E56</f>
        <v>714.23476094072737</v>
      </c>
      <c r="G56" s="649">
        <f>+'Budget R0'!F56</f>
        <v>23</v>
      </c>
      <c r="H56" s="648">
        <f t="shared" si="40"/>
        <v>16427.39950163673</v>
      </c>
      <c r="I56" s="649">
        <f t="shared" si="41"/>
        <v>0.10018050898069698</v>
      </c>
      <c r="J56" s="649">
        <f t="shared" si="42"/>
        <v>8.0401530472925545E-2</v>
      </c>
      <c r="K56" s="639"/>
      <c r="L56" s="559"/>
      <c r="M56" s="652">
        <f>+M45+1</f>
        <v>33</v>
      </c>
      <c r="N56" s="651" t="s">
        <v>192</v>
      </c>
      <c r="O56" s="650" t="s">
        <v>103</v>
      </c>
      <c r="P56" s="649">
        <v>125102</v>
      </c>
      <c r="Q56" s="649">
        <v>45</v>
      </c>
      <c r="R56" s="648">
        <f>+Q56*P56</f>
        <v>5629590</v>
      </c>
      <c r="S56" s="649">
        <f>+R56/R$5</f>
        <v>43.061736516411308</v>
      </c>
      <c r="T56" s="649">
        <f>+R56/R$4</f>
        <v>28.840112704918031</v>
      </c>
      <c r="U56" s="647"/>
      <c r="W56" s="642"/>
      <c r="X56" s="642"/>
      <c r="Y56" s="642"/>
      <c r="Z56" s="642"/>
      <c r="AA56" s="642"/>
      <c r="AB56" s="642"/>
      <c r="AC56" s="642"/>
      <c r="AD56" s="642"/>
      <c r="AE56" s="642"/>
    </row>
    <row r="57" spans="3:31" ht="19.5" customHeight="1" x14ac:dyDescent="0.3">
      <c r="C57" s="652">
        <f t="shared" ref="C57:C62" si="45">+C56+1</f>
        <v>40</v>
      </c>
      <c r="D57" s="643" t="s">
        <v>324</v>
      </c>
      <c r="E57" s="650" t="s">
        <v>103</v>
      </c>
      <c r="F57" s="649">
        <f>+'Budget R0'!E57</f>
        <v>26538.329780002005</v>
      </c>
      <c r="G57" s="649">
        <f>+'Budget R0'!F57</f>
        <v>23</v>
      </c>
      <c r="H57" s="648">
        <f t="shared" si="40"/>
        <v>610381.58494004607</v>
      </c>
      <c r="I57" s="649">
        <f t="shared" si="41"/>
        <v>3.7223382706219499</v>
      </c>
      <c r="J57" s="649">
        <f t="shared" si="42"/>
        <v>2.987424369680673</v>
      </c>
      <c r="K57" s="639"/>
      <c r="M57" s="642"/>
      <c r="N57" s="642"/>
      <c r="O57" s="645"/>
      <c r="P57" s="645"/>
      <c r="Q57" s="653"/>
      <c r="R57" s="653"/>
      <c r="S57" s="653"/>
      <c r="T57" s="653"/>
      <c r="U57" s="639"/>
      <c r="W57" s="642"/>
      <c r="X57" s="642"/>
      <c r="Y57" s="642"/>
      <c r="Z57" s="642"/>
      <c r="AA57" s="642"/>
      <c r="AB57" s="642"/>
      <c r="AC57" s="642"/>
      <c r="AD57" s="642"/>
      <c r="AE57" s="642"/>
    </row>
    <row r="58" spans="3:31" ht="19.5" customHeight="1" x14ac:dyDescent="0.3">
      <c r="C58" s="652">
        <f t="shared" si="45"/>
        <v>41</v>
      </c>
      <c r="D58" s="643" t="s">
        <v>14</v>
      </c>
      <c r="E58" s="650" t="s">
        <v>65</v>
      </c>
      <c r="F58" s="649">
        <f>+'Budget R0'!E58</f>
        <v>68.247817521999991</v>
      </c>
      <c r="G58" s="649">
        <f>+'Budget R0'!F58</f>
        <v>60</v>
      </c>
      <c r="H58" s="648">
        <f t="shared" si="40"/>
        <v>4094.8690513199995</v>
      </c>
      <c r="I58" s="649">
        <f t="shared" si="41"/>
        <v>2.4972063638536875E-2</v>
      </c>
      <c r="J58" s="649">
        <f t="shared" si="42"/>
        <v>2.0041744207873056E-2</v>
      </c>
      <c r="K58" s="639"/>
      <c r="M58" s="642"/>
      <c r="N58" s="642"/>
      <c r="O58" s="645"/>
      <c r="P58" s="645"/>
      <c r="Q58" s="653"/>
      <c r="R58" s="653"/>
      <c r="S58" s="653"/>
      <c r="T58" s="653"/>
      <c r="U58" s="639"/>
      <c r="W58" s="642"/>
      <c r="X58" s="642"/>
      <c r="Y58" s="642"/>
      <c r="Z58" s="642"/>
      <c r="AA58" s="642"/>
      <c r="AB58" s="642"/>
      <c r="AC58" s="642"/>
      <c r="AD58" s="642"/>
      <c r="AE58" s="642"/>
    </row>
    <row r="59" spans="3:31" ht="14.4" x14ac:dyDescent="0.3">
      <c r="C59" s="652">
        <f t="shared" si="45"/>
        <v>42</v>
      </c>
      <c r="D59" s="643" t="s">
        <v>240</v>
      </c>
      <c r="E59" s="650" t="s">
        <v>103</v>
      </c>
      <c r="F59" s="649">
        <f>+'Budget R0'!E59</f>
        <v>1384.0270752459996</v>
      </c>
      <c r="G59" s="649">
        <f>+'Budget R0'!F59</f>
        <v>65</v>
      </c>
      <c r="H59" s="648">
        <f t="shared" si="40"/>
        <v>89961.759890989983</v>
      </c>
      <c r="I59" s="649">
        <f t="shared" si="41"/>
        <v>0.54862091189665674</v>
      </c>
      <c r="J59" s="649">
        <f t="shared" si="42"/>
        <v>0.44030481991704057</v>
      </c>
      <c r="K59" s="639"/>
      <c r="M59" s="642"/>
      <c r="N59" s="642"/>
      <c r="O59" s="645"/>
      <c r="P59" s="645"/>
      <c r="Q59" s="653"/>
      <c r="R59" s="653"/>
      <c r="S59" s="653"/>
      <c r="T59" s="653"/>
      <c r="U59" s="639"/>
      <c r="W59" s="639"/>
      <c r="X59" s="639"/>
      <c r="Y59" s="639"/>
      <c r="Z59" s="639"/>
      <c r="AA59" s="639"/>
      <c r="AB59" s="639"/>
      <c r="AC59" s="639"/>
      <c r="AD59" s="639"/>
      <c r="AE59" s="639"/>
    </row>
    <row r="60" spans="3:31" ht="19.5" customHeight="1" x14ac:dyDescent="0.3">
      <c r="C60" s="652">
        <f t="shared" si="45"/>
        <v>43</v>
      </c>
      <c r="D60" s="643" t="s">
        <v>239</v>
      </c>
      <c r="E60" s="650" t="s">
        <v>65</v>
      </c>
      <c r="F60" s="649">
        <f>+'Budget R0'!E60</f>
        <v>289.03156562299995</v>
      </c>
      <c r="G60" s="649">
        <f>+'Budget R0'!F60</f>
        <v>60</v>
      </c>
      <c r="H60" s="648">
        <f t="shared" si="40"/>
        <v>17341.893937379999</v>
      </c>
      <c r="I60" s="649">
        <f t="shared" si="41"/>
        <v>0.10575744268975105</v>
      </c>
      <c r="J60" s="649">
        <f t="shared" si="42"/>
        <v>8.4877391197893462E-2</v>
      </c>
      <c r="K60" s="639"/>
      <c r="M60" s="642"/>
      <c r="N60" s="642"/>
      <c r="O60" s="645"/>
      <c r="P60" s="645"/>
      <c r="Q60" s="653"/>
      <c r="R60" s="653"/>
      <c r="S60" s="653"/>
      <c r="T60" s="653"/>
      <c r="U60" s="639"/>
      <c r="W60" s="639"/>
      <c r="X60" s="639"/>
      <c r="Y60" s="639"/>
      <c r="Z60" s="639"/>
      <c r="AA60" s="639"/>
      <c r="AB60" s="639"/>
      <c r="AC60" s="639"/>
      <c r="AD60" s="639"/>
      <c r="AE60" s="639"/>
    </row>
    <row r="61" spans="3:31" ht="28.8" x14ac:dyDescent="0.3">
      <c r="C61" s="652">
        <f t="shared" si="45"/>
        <v>44</v>
      </c>
      <c r="D61" s="643" t="s">
        <v>241</v>
      </c>
      <c r="E61" s="650" t="s">
        <v>3</v>
      </c>
      <c r="F61" s="649">
        <f>+'Budget R0'!E61</f>
        <v>12</v>
      </c>
      <c r="G61" s="649">
        <f>+'Budget R0'!F61</f>
        <v>350</v>
      </c>
      <c r="H61" s="648">
        <f t="shared" si="40"/>
        <v>4200</v>
      </c>
      <c r="I61" s="649">
        <f t="shared" si="41"/>
        <v>2.5613192013562797E-2</v>
      </c>
      <c r="J61" s="649">
        <f t="shared" si="42"/>
        <v>2.0556292427942855E-2</v>
      </c>
      <c r="K61" s="639"/>
      <c r="M61" s="642"/>
      <c r="N61" s="642"/>
      <c r="O61" s="645"/>
      <c r="P61" s="645"/>
      <c r="Q61" s="653"/>
      <c r="R61" s="653"/>
      <c r="S61" s="653"/>
      <c r="T61" s="653"/>
      <c r="U61" s="639"/>
      <c r="W61" s="639"/>
      <c r="X61" s="639"/>
      <c r="Y61" s="639"/>
      <c r="Z61" s="639"/>
      <c r="AA61" s="639"/>
      <c r="AB61" s="642"/>
      <c r="AC61" s="639"/>
      <c r="AD61" s="642"/>
      <c r="AE61" s="642"/>
    </row>
    <row r="62" spans="3:31" ht="28.8" x14ac:dyDescent="0.3">
      <c r="C62" s="652">
        <f t="shared" si="45"/>
        <v>45</v>
      </c>
      <c r="D62" s="643" t="s">
        <v>509</v>
      </c>
      <c r="E62" s="650" t="s">
        <v>103</v>
      </c>
      <c r="F62" s="649">
        <f>+'Budget R0'!E62</f>
        <v>45192.832962804023</v>
      </c>
      <c r="G62" s="649">
        <f>+'Budget R0'!F62</f>
        <v>3</v>
      </c>
      <c r="H62" s="648">
        <f t="shared" si="40"/>
        <v>135578.49888841208</v>
      </c>
      <c r="I62" s="649">
        <f t="shared" si="41"/>
        <v>0.82680907736654963</v>
      </c>
      <c r="J62" s="649">
        <f t="shared" si="42"/>
        <v>0.66356935002183903</v>
      </c>
      <c r="K62" s="639"/>
      <c r="M62" s="642"/>
      <c r="N62" s="642"/>
      <c r="O62" s="645"/>
      <c r="P62" s="645"/>
      <c r="Q62" s="653"/>
      <c r="R62" s="653"/>
      <c r="S62" s="653"/>
      <c r="T62" s="653"/>
      <c r="U62" s="639"/>
      <c r="W62" s="642"/>
      <c r="X62" s="642"/>
      <c r="Y62" s="642"/>
      <c r="Z62" s="642"/>
      <c r="AA62" s="642"/>
      <c r="AB62" s="642"/>
      <c r="AC62" s="642"/>
      <c r="AD62" s="642"/>
      <c r="AE62" s="642"/>
    </row>
    <row r="63" spans="3:31" ht="19.5" customHeight="1" x14ac:dyDescent="0.3">
      <c r="C63" s="646"/>
      <c r="D63" s="641" t="s">
        <v>309</v>
      </c>
      <c r="E63" s="650"/>
      <c r="F63" s="649"/>
      <c r="G63" s="649"/>
      <c r="H63" s="648">
        <f t="shared" si="40"/>
        <v>0</v>
      </c>
      <c r="I63" s="649">
        <f t="shared" si="41"/>
        <v>0</v>
      </c>
      <c r="J63" s="649">
        <f t="shared" si="42"/>
        <v>0</v>
      </c>
      <c r="K63" s="639"/>
      <c r="M63" s="646"/>
      <c r="N63" s="641" t="s">
        <v>309</v>
      </c>
      <c r="O63" s="636"/>
      <c r="P63" s="636"/>
      <c r="Q63" s="636"/>
      <c r="R63" s="638"/>
      <c r="S63" s="638"/>
      <c r="T63" s="638"/>
      <c r="U63" s="637"/>
      <c r="W63" s="646"/>
      <c r="X63" s="641" t="s">
        <v>309</v>
      </c>
      <c r="Y63" s="650"/>
      <c r="Z63" s="649"/>
      <c r="AA63" s="649"/>
      <c r="AB63" s="648"/>
      <c r="AC63" s="649"/>
      <c r="AD63" s="649"/>
      <c r="AE63" s="647"/>
    </row>
    <row r="64" spans="3:31" ht="100.8" x14ac:dyDescent="0.3">
      <c r="C64" s="652">
        <f>+C61+1</f>
        <v>45</v>
      </c>
      <c r="D64" s="643" t="s">
        <v>323</v>
      </c>
      <c r="E64" s="650" t="s">
        <v>103</v>
      </c>
      <c r="F64" s="649">
        <f>+'Budget R0'!E65</f>
        <v>490.92946800000004</v>
      </c>
      <c r="G64" s="649">
        <f>+'Budget R0'!F65</f>
        <v>24</v>
      </c>
      <c r="H64" s="648">
        <f t="shared" si="40"/>
        <v>11782.307232000001</v>
      </c>
      <c r="I64" s="649">
        <f t="shared" si="41"/>
        <v>7.185297559428705E-2</v>
      </c>
      <c r="J64" s="649">
        <f t="shared" si="42"/>
        <v>5.766679831829951E-2</v>
      </c>
      <c r="K64" s="639"/>
      <c r="M64" s="646"/>
      <c r="N64" s="651" t="s">
        <v>227</v>
      </c>
      <c r="O64" s="650" t="s">
        <v>103</v>
      </c>
      <c r="P64" s="649">
        <v>1569</v>
      </c>
      <c r="Q64" s="649">
        <f>60*0.6</f>
        <v>36</v>
      </c>
      <c r="R64" s="648">
        <f>+Q64*P64</f>
        <v>56484</v>
      </c>
      <c r="S64" s="649">
        <f>+R64/R$5</f>
        <v>0.43205617556393566</v>
      </c>
      <c r="T64" s="649">
        <f>+R64/R$4</f>
        <v>0.28936475409836065</v>
      </c>
      <c r="U64" s="637"/>
      <c r="W64" s="652">
        <f>+W40+1</f>
        <v>27</v>
      </c>
      <c r="X64" s="651" t="s">
        <v>325</v>
      </c>
      <c r="Y64" s="650" t="s">
        <v>103</v>
      </c>
      <c r="Z64" s="649">
        <v>940</v>
      </c>
      <c r="AA64" s="649">
        <v>42.5</v>
      </c>
      <c r="AB64" s="648">
        <f>+AA64*Z64</f>
        <v>39950</v>
      </c>
      <c r="AC64" s="649">
        <f>+AB64/AB$5</f>
        <v>0.49263209815648312</v>
      </c>
      <c r="AD64" s="649">
        <f>+AB64/AB$4</f>
        <v>0.41915413750773783</v>
      </c>
      <c r="AE64" s="637"/>
    </row>
    <row r="65" spans="3:31" ht="19.5" customHeight="1" x14ac:dyDescent="0.3">
      <c r="C65" s="652">
        <f t="shared" ref="C65:C69" si="46">+C64+1</f>
        <v>46</v>
      </c>
      <c r="D65" s="643" t="s">
        <v>324</v>
      </c>
      <c r="E65" s="650" t="s">
        <v>103</v>
      </c>
      <c r="F65" s="649">
        <f>+'Budget R0'!E66</f>
        <v>7311.1525134169988</v>
      </c>
      <c r="G65" s="649">
        <f>+'Budget R0'!F66</f>
        <v>24</v>
      </c>
      <c r="H65" s="648">
        <f t="shared" si="40"/>
        <v>175467.66032200796</v>
      </c>
      <c r="I65" s="649">
        <f t="shared" si="41"/>
        <v>1.0700683038090961</v>
      </c>
      <c r="J65" s="649">
        <f t="shared" si="42"/>
        <v>0.85880108029193825</v>
      </c>
      <c r="K65" s="639"/>
      <c r="M65" s="642"/>
      <c r="N65" s="642"/>
      <c r="O65" s="645"/>
      <c r="P65" s="645"/>
      <c r="Q65" s="653"/>
      <c r="R65" s="653"/>
      <c r="S65" s="653"/>
      <c r="T65" s="653"/>
      <c r="U65" s="639"/>
      <c r="W65" s="642"/>
      <c r="X65" s="642"/>
      <c r="Y65" s="642"/>
      <c r="Z65" s="642"/>
      <c r="AA65" s="642"/>
      <c r="AB65" s="642"/>
      <c r="AC65" s="642"/>
      <c r="AD65" s="642"/>
      <c r="AE65" s="642"/>
    </row>
    <row r="66" spans="3:31" ht="19.5" customHeight="1" x14ac:dyDescent="0.3">
      <c r="C66" s="652">
        <f t="shared" si="46"/>
        <v>47</v>
      </c>
      <c r="D66" s="643" t="s">
        <v>14</v>
      </c>
      <c r="E66" s="650" t="s">
        <v>65</v>
      </c>
      <c r="F66" s="649">
        <f>+'Budget R0'!E67</f>
        <v>2.9801013060000003</v>
      </c>
      <c r="G66" s="649">
        <f>+'Budget R0'!F67</f>
        <v>60</v>
      </c>
      <c r="H66" s="648">
        <f t="shared" si="40"/>
        <v>178.80607836000001</v>
      </c>
      <c r="I66" s="649">
        <f t="shared" si="41"/>
        <v>1.0904272424349609E-3</v>
      </c>
      <c r="J66" s="649">
        <f t="shared" si="42"/>
        <v>8.7514048444329163E-4</v>
      </c>
      <c r="K66" s="639"/>
      <c r="M66" s="646"/>
      <c r="N66" s="628"/>
      <c r="O66" s="636"/>
      <c r="P66" s="636"/>
      <c r="Q66" s="636"/>
      <c r="R66" s="638"/>
      <c r="S66" s="638"/>
      <c r="T66" s="638"/>
      <c r="U66" s="637"/>
      <c r="W66" s="642"/>
      <c r="X66" s="628"/>
      <c r="Y66" s="636"/>
      <c r="Z66" s="636"/>
      <c r="AA66" s="636"/>
      <c r="AB66" s="638"/>
      <c r="AC66" s="638"/>
      <c r="AD66" s="638"/>
      <c r="AE66" s="639"/>
    </row>
    <row r="67" spans="3:31" ht="14.4" x14ac:dyDescent="0.3">
      <c r="C67" s="652">
        <f t="shared" si="46"/>
        <v>48</v>
      </c>
      <c r="D67" s="643" t="s">
        <v>240</v>
      </c>
      <c r="E67" s="650" t="s">
        <v>103</v>
      </c>
      <c r="F67" s="649">
        <f>+'Budget R0'!E68</f>
        <v>44.598917999999998</v>
      </c>
      <c r="G67" s="649">
        <f>+'Budget R0'!F68</f>
        <v>65</v>
      </c>
      <c r="H67" s="648">
        <f t="shared" si="40"/>
        <v>2898.92967</v>
      </c>
      <c r="I67" s="649">
        <f t="shared" si="41"/>
        <v>1.767877196941053E-2</v>
      </c>
      <c r="J67" s="649">
        <f t="shared" si="42"/>
        <v>1.4188391910609494E-2</v>
      </c>
      <c r="K67" s="639"/>
      <c r="M67" s="642"/>
      <c r="N67" s="642"/>
      <c r="O67" s="645"/>
      <c r="P67" s="645"/>
      <c r="Q67" s="653"/>
      <c r="R67" s="653"/>
      <c r="S67" s="653"/>
      <c r="T67" s="653"/>
      <c r="U67" s="639"/>
      <c r="W67" s="642"/>
      <c r="X67" s="642"/>
      <c r="Y67" s="642"/>
      <c r="Z67" s="642"/>
      <c r="AA67" s="642"/>
      <c r="AB67" s="642"/>
      <c r="AC67" s="642"/>
      <c r="AD67" s="642"/>
      <c r="AE67" s="642"/>
    </row>
    <row r="68" spans="3:31" ht="19.5" customHeight="1" x14ac:dyDescent="0.3">
      <c r="C68" s="652">
        <f t="shared" si="46"/>
        <v>49</v>
      </c>
      <c r="D68" s="643" t="s">
        <v>239</v>
      </c>
      <c r="E68" s="650" t="s">
        <v>65</v>
      </c>
      <c r="F68" s="649">
        <f>+'Budget R0'!E69</f>
        <v>8.9224589999999999</v>
      </c>
      <c r="G68" s="649">
        <f>+'Budget R0'!F69</f>
        <v>60</v>
      </c>
      <c r="H68" s="648">
        <f t="shared" si="40"/>
        <v>535.34753999999998</v>
      </c>
      <c r="I68" s="649">
        <f t="shared" si="41"/>
        <v>3.264752222859164E-3</v>
      </c>
      <c r="J68" s="649">
        <f t="shared" si="42"/>
        <v>2.6201810911475796E-3</v>
      </c>
      <c r="K68" s="639"/>
      <c r="M68" s="642"/>
      <c r="N68" s="642"/>
      <c r="O68" s="645"/>
      <c r="P68" s="645"/>
      <c r="Q68" s="653"/>
      <c r="R68" s="653"/>
      <c r="S68" s="653"/>
      <c r="T68" s="653"/>
      <c r="U68" s="639"/>
      <c r="W68" s="642"/>
      <c r="X68" s="642"/>
      <c r="Y68" s="642"/>
      <c r="Z68" s="642"/>
      <c r="AA68" s="642"/>
      <c r="AB68" s="642"/>
      <c r="AC68" s="642"/>
      <c r="AD68" s="642"/>
      <c r="AE68" s="642"/>
    </row>
    <row r="69" spans="3:31" ht="28.8" x14ac:dyDescent="0.3">
      <c r="C69" s="652">
        <f t="shared" si="46"/>
        <v>50</v>
      </c>
      <c r="D69" s="643" t="s">
        <v>530</v>
      </c>
      <c r="E69" s="650" t="s">
        <v>529</v>
      </c>
      <c r="F69" s="649">
        <f>+'Budget R0'!E72</f>
        <v>3</v>
      </c>
      <c r="G69" s="649">
        <f>+'Budget R0'!F72</f>
        <v>20000</v>
      </c>
      <c r="H69" s="648">
        <f t="shared" ref="H69" si="47">+G69*F69</f>
        <v>60000</v>
      </c>
      <c r="I69" s="649">
        <f t="shared" ref="I69" si="48">+H69/H$5</f>
        <v>0.36590274305089709</v>
      </c>
      <c r="J69" s="649">
        <f t="shared" ref="J69" si="49">+H69/H$4</f>
        <v>0.29366132039918363</v>
      </c>
      <c r="K69" s="639"/>
      <c r="M69" s="642"/>
      <c r="N69" s="642"/>
      <c r="O69" s="645"/>
      <c r="P69" s="645"/>
      <c r="Q69" s="653"/>
      <c r="R69" s="653"/>
      <c r="S69" s="653"/>
      <c r="T69" s="653"/>
      <c r="U69" s="639"/>
      <c r="W69" s="642"/>
      <c r="X69" s="642"/>
      <c r="Y69" s="642"/>
      <c r="Z69" s="642"/>
      <c r="AA69" s="642"/>
      <c r="AB69" s="642"/>
      <c r="AC69" s="642"/>
      <c r="AD69" s="642"/>
      <c r="AE69" s="642"/>
    </row>
    <row r="70" spans="3:31" ht="19.5" customHeight="1" x14ac:dyDescent="0.3">
      <c r="C70" s="646"/>
      <c r="D70" s="714" t="s">
        <v>523</v>
      </c>
      <c r="E70" s="715"/>
      <c r="F70" s="715"/>
      <c r="G70" s="715"/>
      <c r="H70" s="653">
        <f>SUM(H31:H69)</f>
        <v>2145905.3816716503</v>
      </c>
      <c r="I70" s="653">
        <f>SUM(I31:I69)</f>
        <v>13.086544424688986</v>
      </c>
      <c r="J70" s="653">
        <f>SUM(J31:J69)</f>
        <v>10.502823463890183</v>
      </c>
      <c r="K70" s="639"/>
      <c r="M70" s="646"/>
      <c r="N70" s="714" t="s">
        <v>193</v>
      </c>
      <c r="O70" s="715"/>
      <c r="P70" s="715"/>
      <c r="Q70" s="715"/>
      <c r="R70" s="638">
        <f>SUM(R31:R68)</f>
        <v>5954221.8858137047</v>
      </c>
      <c r="S70" s="638">
        <f>SUM(S31:S68)</f>
        <v>45.544903626580165</v>
      </c>
      <c r="T70" s="638">
        <f>SUM(T31:T68)</f>
        <v>30.503185890439063</v>
      </c>
      <c r="U70" s="637"/>
      <c r="W70" s="642"/>
      <c r="X70" s="714" t="s">
        <v>193</v>
      </c>
      <c r="Y70" s="715"/>
      <c r="Z70" s="715"/>
      <c r="AA70" s="715"/>
      <c r="AB70" s="638">
        <f>SUM(AB32:AB64)</f>
        <v>3791117.2065160093</v>
      </c>
      <c r="AC70" s="638">
        <f>SUM(AC32:AC64)</f>
        <v>46.749086953770387</v>
      </c>
      <c r="AD70" s="638">
        <f>SUM(AD32:AD64)</f>
        <v>39.776281924604817</v>
      </c>
      <c r="AE70" s="639"/>
    </row>
    <row r="71" spans="3:31" ht="19.5" customHeight="1" x14ac:dyDescent="0.3">
      <c r="C71" s="642"/>
      <c r="D71" s="642"/>
      <c r="E71" s="642"/>
      <c r="F71" s="642"/>
      <c r="G71" s="642"/>
      <c r="H71" s="653"/>
      <c r="I71" s="653"/>
      <c r="J71" s="653"/>
      <c r="K71" s="639"/>
    </row>
    <row r="72" spans="3:31" ht="19.5" customHeight="1" x14ac:dyDescent="0.3">
      <c r="C72" s="593"/>
      <c r="D72" s="739" t="s">
        <v>194</v>
      </c>
      <c r="E72" s="740"/>
      <c r="F72" s="740"/>
      <c r="G72" s="740"/>
      <c r="H72" s="596">
        <f>+H70+H28-1.9</f>
        <v>7313892.2729331432</v>
      </c>
      <c r="I72" s="596">
        <f>+I70+I28</f>
        <v>44.602899004336827</v>
      </c>
      <c r="J72" s="596">
        <f>+J70+J28</f>
        <v>35.796797001390701</v>
      </c>
      <c r="K72" s="596" t="s">
        <v>195</v>
      </c>
      <c r="M72" s="584"/>
      <c r="N72" s="735" t="s">
        <v>194</v>
      </c>
      <c r="O72" s="736"/>
      <c r="P72" s="736"/>
      <c r="Q72" s="736"/>
      <c r="R72" s="585">
        <f>+R70+R28</f>
        <v>19222124.885813706</v>
      </c>
      <c r="S72" s="585">
        <f>+S70+S28</f>
        <v>147.03345663155977</v>
      </c>
      <c r="T72" s="585">
        <f>+T70+T28</f>
        <v>98.474000439619402</v>
      </c>
      <c r="U72" s="586" t="s">
        <v>195</v>
      </c>
      <c r="W72" s="584"/>
      <c r="X72" s="735" t="s">
        <v>194</v>
      </c>
      <c r="Y72" s="736"/>
      <c r="Z72" s="736"/>
      <c r="AA72" s="736"/>
      <c r="AB72" s="585">
        <f>+AB70+AB28</f>
        <v>11334770.709471587</v>
      </c>
      <c r="AC72" s="585">
        <f>+AC70+AC28</f>
        <v>139.77151130737514</v>
      </c>
      <c r="AD72" s="585">
        <f>+AD70+AD28</f>
        <v>118.92405608451897</v>
      </c>
      <c r="AE72" s="586" t="s">
        <v>195</v>
      </c>
    </row>
    <row r="73" spans="3:31" ht="19.5" customHeight="1" x14ac:dyDescent="0.3">
      <c r="E73" s="265"/>
      <c r="F73" s="265"/>
      <c r="G73" s="265"/>
      <c r="H73" s="265"/>
      <c r="I73" s="265"/>
      <c r="J73" s="265"/>
      <c r="K73" s="265"/>
    </row>
    <row r="74" spans="3:31" ht="19.5" customHeight="1" x14ac:dyDescent="0.3">
      <c r="P74" s="730" t="s">
        <v>502</v>
      </c>
      <c r="Q74" s="730"/>
      <c r="R74" s="653"/>
      <c r="Z74" s="730" t="s">
        <v>505</v>
      </c>
      <c r="AA74" s="730"/>
      <c r="AB74" s="653"/>
    </row>
    <row r="75" spans="3:31" ht="19.5" customHeight="1" x14ac:dyDescent="0.3">
      <c r="P75" s="730" t="s">
        <v>503</v>
      </c>
      <c r="Q75" s="730"/>
      <c r="R75" s="653">
        <f>+R72/142</f>
        <v>135367.07666065989</v>
      </c>
      <c r="Z75" s="730" t="s">
        <v>503</v>
      </c>
      <c r="AA75" s="730"/>
      <c r="AB75" s="653">
        <f>+AB72/80</f>
        <v>141684.63386839483</v>
      </c>
    </row>
  </sheetData>
  <mergeCells count="40">
    <mergeCell ref="W2:AE2"/>
    <mergeCell ref="Y3:AD3"/>
    <mergeCell ref="W5:X5"/>
    <mergeCell ref="Y5:AA5"/>
    <mergeCell ref="Z7:AD7"/>
    <mergeCell ref="W3:X3"/>
    <mergeCell ref="W4:X4"/>
    <mergeCell ref="Y4:AA4"/>
    <mergeCell ref="C1:K1"/>
    <mergeCell ref="C2:K2"/>
    <mergeCell ref="C3:D3"/>
    <mergeCell ref="N49:Q49"/>
    <mergeCell ref="N72:Q72"/>
    <mergeCell ref="P7:T7"/>
    <mergeCell ref="N70:Q70"/>
    <mergeCell ref="M1:U1"/>
    <mergeCell ref="M2:U2"/>
    <mergeCell ref="M3:N3"/>
    <mergeCell ref="O3:T3"/>
    <mergeCell ref="M4:N4"/>
    <mergeCell ref="O4:Q4"/>
    <mergeCell ref="C4:D4"/>
    <mergeCell ref="E4:G4"/>
    <mergeCell ref="D70:G70"/>
    <mergeCell ref="P74:Q74"/>
    <mergeCell ref="P75:Q75"/>
    <mergeCell ref="Z74:AA74"/>
    <mergeCell ref="Z75:AA75"/>
    <mergeCell ref="E3:J3"/>
    <mergeCell ref="M5:N5"/>
    <mergeCell ref="O5:Q5"/>
    <mergeCell ref="N28:Q28"/>
    <mergeCell ref="X72:AA72"/>
    <mergeCell ref="X28:AA28"/>
    <mergeCell ref="X70:AA70"/>
    <mergeCell ref="D72:G72"/>
    <mergeCell ref="C5:D5"/>
    <mergeCell ref="E5:G5"/>
    <mergeCell ref="D28:G28"/>
    <mergeCell ref="F7:J7"/>
  </mergeCells>
  <printOptions horizontalCentered="1"/>
  <pageMargins left="0" right="0" top="0" bottom="0" header="0.16" footer="0.3"/>
  <pageSetup paperSize="9" scale="7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5"/>
  <sheetViews>
    <sheetView showGridLines="0" zoomScale="85" zoomScaleNormal="85" workbookViewId="0">
      <selection activeCell="G10" sqref="G10"/>
    </sheetView>
  </sheetViews>
  <sheetFormatPr defaultRowHeight="14.4" x14ac:dyDescent="0.3"/>
  <cols>
    <col min="1" max="1" width="0.88671875" style="115" customWidth="1"/>
    <col min="2" max="2" width="4.109375" style="115" customWidth="1"/>
    <col min="3" max="3" width="31.5546875" style="115" customWidth="1"/>
    <col min="4" max="4" width="7.109375" style="116" customWidth="1"/>
    <col min="5" max="5" width="11.109375" style="116" customWidth="1"/>
    <col min="6" max="6" width="11.5546875" style="116" customWidth="1"/>
    <col min="7" max="7" width="11.109375" style="116" customWidth="1"/>
    <col min="8" max="8" width="10.44140625" style="116" customWidth="1"/>
    <col min="9" max="9" width="9.33203125" style="116" customWidth="1"/>
    <col min="10" max="10" width="8" style="116" customWidth="1"/>
    <col min="11" max="11" width="8.44140625" style="116" customWidth="1"/>
    <col min="12" max="12" width="8.33203125" style="116" customWidth="1"/>
    <col min="13" max="13" width="10.109375" style="116" customWidth="1"/>
    <col min="14" max="14" width="10.5546875" style="116" bestFit="1" customWidth="1"/>
    <col min="15" max="15" width="8.88671875" style="116" bestFit="1" customWidth="1"/>
    <col min="16" max="16" width="10.109375" style="116" customWidth="1"/>
    <col min="17" max="17" width="7.6640625" style="115" bestFit="1" customWidth="1"/>
    <col min="18" max="18" width="6.6640625" style="115" bestFit="1" customWidth="1"/>
    <col min="19" max="19" width="9.109375" style="115" customWidth="1"/>
    <col min="20" max="20" width="9" style="115" bestFit="1" customWidth="1"/>
    <col min="21" max="21" width="9" style="115" customWidth="1"/>
    <col min="22" max="264" width="9.109375" style="115"/>
    <col min="265" max="265" width="28.109375" style="115" customWidth="1"/>
    <col min="266" max="267" width="9.109375" style="115"/>
    <col min="268" max="268" width="0" style="115" hidden="1" customWidth="1"/>
    <col min="269" max="269" width="9.109375" style="115"/>
    <col min="270" max="270" width="12.44140625" style="115" customWidth="1"/>
    <col min="271" max="271" width="10.33203125" style="115" bestFit="1" customWidth="1"/>
    <col min="272" max="274" width="9.109375" style="115"/>
    <col min="275" max="275" width="9.5546875" style="115" bestFit="1" customWidth="1"/>
    <col min="276" max="520" width="9.109375" style="115"/>
    <col min="521" max="521" width="28.109375" style="115" customWidth="1"/>
    <col min="522" max="523" width="9.109375" style="115"/>
    <col min="524" max="524" width="0" style="115" hidden="1" customWidth="1"/>
    <col min="525" max="525" width="9.109375" style="115"/>
    <col min="526" max="526" width="12.44140625" style="115" customWidth="1"/>
    <col min="527" max="527" width="10.33203125" style="115" bestFit="1" customWidth="1"/>
    <col min="528" max="530" width="9.109375" style="115"/>
    <col min="531" max="531" width="9.5546875" style="115" bestFit="1" customWidth="1"/>
    <col min="532" max="776" width="9.109375" style="115"/>
    <col min="777" max="777" width="28.109375" style="115" customWidth="1"/>
    <col min="778" max="779" width="9.109375" style="115"/>
    <col min="780" max="780" width="0" style="115" hidden="1" customWidth="1"/>
    <col min="781" max="781" width="9.109375" style="115"/>
    <col min="782" max="782" width="12.44140625" style="115" customWidth="1"/>
    <col min="783" max="783" width="10.33203125" style="115" bestFit="1" customWidth="1"/>
    <col min="784" max="786" width="9.109375" style="115"/>
    <col min="787" max="787" width="9.5546875" style="115" bestFit="1" customWidth="1"/>
    <col min="788" max="1032" width="9.109375" style="115"/>
    <col min="1033" max="1033" width="28.109375" style="115" customWidth="1"/>
    <col min="1034" max="1035" width="9.109375" style="115"/>
    <col min="1036" max="1036" width="0" style="115" hidden="1" customWidth="1"/>
    <col min="1037" max="1037" width="9.109375" style="115"/>
    <col min="1038" max="1038" width="12.44140625" style="115" customWidth="1"/>
    <col min="1039" max="1039" width="10.33203125" style="115" bestFit="1" customWidth="1"/>
    <col min="1040" max="1042" width="9.109375" style="115"/>
    <col min="1043" max="1043" width="9.5546875" style="115" bestFit="1" customWidth="1"/>
    <col min="1044" max="1288" width="9.109375" style="115"/>
    <col min="1289" max="1289" width="28.109375" style="115" customWidth="1"/>
    <col min="1290" max="1291" width="9.109375" style="115"/>
    <col min="1292" max="1292" width="0" style="115" hidden="1" customWidth="1"/>
    <col min="1293" max="1293" width="9.109375" style="115"/>
    <col min="1294" max="1294" width="12.44140625" style="115" customWidth="1"/>
    <col min="1295" max="1295" width="10.33203125" style="115" bestFit="1" customWidth="1"/>
    <col min="1296" max="1298" width="9.109375" style="115"/>
    <col min="1299" max="1299" width="9.5546875" style="115" bestFit="1" customWidth="1"/>
    <col min="1300" max="1544" width="9.109375" style="115"/>
    <col min="1545" max="1545" width="28.109375" style="115" customWidth="1"/>
    <col min="1546" max="1547" width="9.109375" style="115"/>
    <col min="1548" max="1548" width="0" style="115" hidden="1" customWidth="1"/>
    <col min="1549" max="1549" width="9.109375" style="115"/>
    <col min="1550" max="1550" width="12.44140625" style="115" customWidth="1"/>
    <col min="1551" max="1551" width="10.33203125" style="115" bestFit="1" customWidth="1"/>
    <col min="1552" max="1554" width="9.109375" style="115"/>
    <col min="1555" max="1555" width="9.5546875" style="115" bestFit="1" customWidth="1"/>
    <col min="1556" max="1800" width="9.109375" style="115"/>
    <col min="1801" max="1801" width="28.109375" style="115" customWidth="1"/>
    <col min="1802" max="1803" width="9.109375" style="115"/>
    <col min="1804" max="1804" width="0" style="115" hidden="1" customWidth="1"/>
    <col min="1805" max="1805" width="9.109375" style="115"/>
    <col min="1806" max="1806" width="12.44140625" style="115" customWidth="1"/>
    <col min="1807" max="1807" width="10.33203125" style="115" bestFit="1" customWidth="1"/>
    <col min="1808" max="1810" width="9.109375" style="115"/>
    <col min="1811" max="1811" width="9.5546875" style="115" bestFit="1" customWidth="1"/>
    <col min="1812" max="2056" width="9.109375" style="115"/>
    <col min="2057" max="2057" width="28.109375" style="115" customWidth="1"/>
    <col min="2058" max="2059" width="9.109375" style="115"/>
    <col min="2060" max="2060" width="0" style="115" hidden="1" customWidth="1"/>
    <col min="2061" max="2061" width="9.109375" style="115"/>
    <col min="2062" max="2062" width="12.44140625" style="115" customWidth="1"/>
    <col min="2063" max="2063" width="10.33203125" style="115" bestFit="1" customWidth="1"/>
    <col min="2064" max="2066" width="9.109375" style="115"/>
    <col min="2067" max="2067" width="9.5546875" style="115" bestFit="1" customWidth="1"/>
    <col min="2068" max="2312" width="9.109375" style="115"/>
    <col min="2313" max="2313" width="28.109375" style="115" customWidth="1"/>
    <col min="2314" max="2315" width="9.109375" style="115"/>
    <col min="2316" max="2316" width="0" style="115" hidden="1" customWidth="1"/>
    <col min="2317" max="2317" width="9.109375" style="115"/>
    <col min="2318" max="2318" width="12.44140625" style="115" customWidth="1"/>
    <col min="2319" max="2319" width="10.33203125" style="115" bestFit="1" customWidth="1"/>
    <col min="2320" max="2322" width="9.109375" style="115"/>
    <col min="2323" max="2323" width="9.5546875" style="115" bestFit="1" customWidth="1"/>
    <col min="2324" max="2568" width="9.109375" style="115"/>
    <col min="2569" max="2569" width="28.109375" style="115" customWidth="1"/>
    <col min="2570" max="2571" width="9.109375" style="115"/>
    <col min="2572" max="2572" width="0" style="115" hidden="1" customWidth="1"/>
    <col min="2573" max="2573" width="9.109375" style="115"/>
    <col min="2574" max="2574" width="12.44140625" style="115" customWidth="1"/>
    <col min="2575" max="2575" width="10.33203125" style="115" bestFit="1" customWidth="1"/>
    <col min="2576" max="2578" width="9.109375" style="115"/>
    <col min="2579" max="2579" width="9.5546875" style="115" bestFit="1" customWidth="1"/>
    <col min="2580" max="2824" width="9.109375" style="115"/>
    <col min="2825" max="2825" width="28.109375" style="115" customWidth="1"/>
    <col min="2826" max="2827" width="9.109375" style="115"/>
    <col min="2828" max="2828" width="0" style="115" hidden="1" customWidth="1"/>
    <col min="2829" max="2829" width="9.109375" style="115"/>
    <col min="2830" max="2830" width="12.44140625" style="115" customWidth="1"/>
    <col min="2831" max="2831" width="10.33203125" style="115" bestFit="1" customWidth="1"/>
    <col min="2832" max="2834" width="9.109375" style="115"/>
    <col min="2835" max="2835" width="9.5546875" style="115" bestFit="1" customWidth="1"/>
    <col min="2836" max="3080" width="9.109375" style="115"/>
    <col min="3081" max="3081" width="28.109375" style="115" customWidth="1"/>
    <col min="3082" max="3083" width="9.109375" style="115"/>
    <col min="3084" max="3084" width="0" style="115" hidden="1" customWidth="1"/>
    <col min="3085" max="3085" width="9.109375" style="115"/>
    <col min="3086" max="3086" width="12.44140625" style="115" customWidth="1"/>
    <col min="3087" max="3087" width="10.33203125" style="115" bestFit="1" customWidth="1"/>
    <col min="3088" max="3090" width="9.109375" style="115"/>
    <col min="3091" max="3091" width="9.5546875" style="115" bestFit="1" customWidth="1"/>
    <col min="3092" max="3336" width="9.109375" style="115"/>
    <col min="3337" max="3337" width="28.109375" style="115" customWidth="1"/>
    <col min="3338" max="3339" width="9.109375" style="115"/>
    <col min="3340" max="3340" width="0" style="115" hidden="1" customWidth="1"/>
    <col min="3341" max="3341" width="9.109375" style="115"/>
    <col min="3342" max="3342" width="12.44140625" style="115" customWidth="1"/>
    <col min="3343" max="3343" width="10.33203125" style="115" bestFit="1" customWidth="1"/>
    <col min="3344" max="3346" width="9.109375" style="115"/>
    <col min="3347" max="3347" width="9.5546875" style="115" bestFit="1" customWidth="1"/>
    <col min="3348" max="3592" width="9.109375" style="115"/>
    <col min="3593" max="3593" width="28.109375" style="115" customWidth="1"/>
    <col min="3594" max="3595" width="9.109375" style="115"/>
    <col min="3596" max="3596" width="0" style="115" hidden="1" customWidth="1"/>
    <col min="3597" max="3597" width="9.109375" style="115"/>
    <col min="3598" max="3598" width="12.44140625" style="115" customWidth="1"/>
    <col min="3599" max="3599" width="10.33203125" style="115" bestFit="1" customWidth="1"/>
    <col min="3600" max="3602" width="9.109375" style="115"/>
    <col min="3603" max="3603" width="9.5546875" style="115" bestFit="1" customWidth="1"/>
    <col min="3604" max="3848" width="9.109375" style="115"/>
    <col min="3849" max="3849" width="28.109375" style="115" customWidth="1"/>
    <col min="3850" max="3851" width="9.109375" style="115"/>
    <col min="3852" max="3852" width="0" style="115" hidden="1" customWidth="1"/>
    <col min="3853" max="3853" width="9.109375" style="115"/>
    <col min="3854" max="3854" width="12.44140625" style="115" customWidth="1"/>
    <col min="3855" max="3855" width="10.33203125" style="115" bestFit="1" customWidth="1"/>
    <col min="3856" max="3858" width="9.109375" style="115"/>
    <col min="3859" max="3859" width="9.5546875" style="115" bestFit="1" customWidth="1"/>
    <col min="3860" max="4104" width="9.109375" style="115"/>
    <col min="4105" max="4105" width="28.109375" style="115" customWidth="1"/>
    <col min="4106" max="4107" width="9.109375" style="115"/>
    <col min="4108" max="4108" width="0" style="115" hidden="1" customWidth="1"/>
    <col min="4109" max="4109" width="9.109375" style="115"/>
    <col min="4110" max="4110" width="12.44140625" style="115" customWidth="1"/>
    <col min="4111" max="4111" width="10.33203125" style="115" bestFit="1" customWidth="1"/>
    <col min="4112" max="4114" width="9.109375" style="115"/>
    <col min="4115" max="4115" width="9.5546875" style="115" bestFit="1" customWidth="1"/>
    <col min="4116" max="4360" width="9.109375" style="115"/>
    <col min="4361" max="4361" width="28.109375" style="115" customWidth="1"/>
    <col min="4362" max="4363" width="9.109375" style="115"/>
    <col min="4364" max="4364" width="0" style="115" hidden="1" customWidth="1"/>
    <col min="4365" max="4365" width="9.109375" style="115"/>
    <col min="4366" max="4366" width="12.44140625" style="115" customWidth="1"/>
    <col min="4367" max="4367" width="10.33203125" style="115" bestFit="1" customWidth="1"/>
    <col min="4368" max="4370" width="9.109375" style="115"/>
    <col min="4371" max="4371" width="9.5546875" style="115" bestFit="1" customWidth="1"/>
    <col min="4372" max="4616" width="9.109375" style="115"/>
    <col min="4617" max="4617" width="28.109375" style="115" customWidth="1"/>
    <col min="4618" max="4619" width="9.109375" style="115"/>
    <col min="4620" max="4620" width="0" style="115" hidden="1" customWidth="1"/>
    <col min="4621" max="4621" width="9.109375" style="115"/>
    <col min="4622" max="4622" width="12.44140625" style="115" customWidth="1"/>
    <col min="4623" max="4623" width="10.33203125" style="115" bestFit="1" customWidth="1"/>
    <col min="4624" max="4626" width="9.109375" style="115"/>
    <col min="4627" max="4627" width="9.5546875" style="115" bestFit="1" customWidth="1"/>
    <col min="4628" max="4872" width="9.109375" style="115"/>
    <col min="4873" max="4873" width="28.109375" style="115" customWidth="1"/>
    <col min="4874" max="4875" width="9.109375" style="115"/>
    <col min="4876" max="4876" width="0" style="115" hidden="1" customWidth="1"/>
    <col min="4877" max="4877" width="9.109375" style="115"/>
    <col min="4878" max="4878" width="12.44140625" style="115" customWidth="1"/>
    <col min="4879" max="4879" width="10.33203125" style="115" bestFit="1" customWidth="1"/>
    <col min="4880" max="4882" width="9.109375" style="115"/>
    <col min="4883" max="4883" width="9.5546875" style="115" bestFit="1" customWidth="1"/>
    <col min="4884" max="5128" width="9.109375" style="115"/>
    <col min="5129" max="5129" width="28.109375" style="115" customWidth="1"/>
    <col min="5130" max="5131" width="9.109375" style="115"/>
    <col min="5132" max="5132" width="0" style="115" hidden="1" customWidth="1"/>
    <col min="5133" max="5133" width="9.109375" style="115"/>
    <col min="5134" max="5134" width="12.44140625" style="115" customWidth="1"/>
    <col min="5135" max="5135" width="10.33203125" style="115" bestFit="1" customWidth="1"/>
    <col min="5136" max="5138" width="9.109375" style="115"/>
    <col min="5139" max="5139" width="9.5546875" style="115" bestFit="1" customWidth="1"/>
    <col min="5140" max="5384" width="9.109375" style="115"/>
    <col min="5385" max="5385" width="28.109375" style="115" customWidth="1"/>
    <col min="5386" max="5387" width="9.109375" style="115"/>
    <col min="5388" max="5388" width="0" style="115" hidden="1" customWidth="1"/>
    <col min="5389" max="5389" width="9.109375" style="115"/>
    <col min="5390" max="5390" width="12.44140625" style="115" customWidth="1"/>
    <col min="5391" max="5391" width="10.33203125" style="115" bestFit="1" customWidth="1"/>
    <col min="5392" max="5394" width="9.109375" style="115"/>
    <col min="5395" max="5395" width="9.5546875" style="115" bestFit="1" customWidth="1"/>
    <col min="5396" max="5640" width="9.109375" style="115"/>
    <col min="5641" max="5641" width="28.109375" style="115" customWidth="1"/>
    <col min="5642" max="5643" width="9.109375" style="115"/>
    <col min="5644" max="5644" width="0" style="115" hidden="1" customWidth="1"/>
    <col min="5645" max="5645" width="9.109375" style="115"/>
    <col min="5646" max="5646" width="12.44140625" style="115" customWidth="1"/>
    <col min="5647" max="5647" width="10.33203125" style="115" bestFit="1" customWidth="1"/>
    <col min="5648" max="5650" width="9.109375" style="115"/>
    <col min="5651" max="5651" width="9.5546875" style="115" bestFit="1" customWidth="1"/>
    <col min="5652" max="5896" width="9.109375" style="115"/>
    <col min="5897" max="5897" width="28.109375" style="115" customWidth="1"/>
    <col min="5898" max="5899" width="9.109375" style="115"/>
    <col min="5900" max="5900" width="0" style="115" hidden="1" customWidth="1"/>
    <col min="5901" max="5901" width="9.109375" style="115"/>
    <col min="5902" max="5902" width="12.44140625" style="115" customWidth="1"/>
    <col min="5903" max="5903" width="10.33203125" style="115" bestFit="1" customWidth="1"/>
    <col min="5904" max="5906" width="9.109375" style="115"/>
    <col min="5907" max="5907" width="9.5546875" style="115" bestFit="1" customWidth="1"/>
    <col min="5908" max="6152" width="9.109375" style="115"/>
    <col min="6153" max="6153" width="28.109375" style="115" customWidth="1"/>
    <col min="6154" max="6155" width="9.109375" style="115"/>
    <col min="6156" max="6156" width="0" style="115" hidden="1" customWidth="1"/>
    <col min="6157" max="6157" width="9.109375" style="115"/>
    <col min="6158" max="6158" width="12.44140625" style="115" customWidth="1"/>
    <col min="6159" max="6159" width="10.33203125" style="115" bestFit="1" customWidth="1"/>
    <col min="6160" max="6162" width="9.109375" style="115"/>
    <col min="6163" max="6163" width="9.5546875" style="115" bestFit="1" customWidth="1"/>
    <col min="6164" max="6408" width="9.109375" style="115"/>
    <col min="6409" max="6409" width="28.109375" style="115" customWidth="1"/>
    <col min="6410" max="6411" width="9.109375" style="115"/>
    <col min="6412" max="6412" width="0" style="115" hidden="1" customWidth="1"/>
    <col min="6413" max="6413" width="9.109375" style="115"/>
    <col min="6414" max="6414" width="12.44140625" style="115" customWidth="1"/>
    <col min="6415" max="6415" width="10.33203125" style="115" bestFit="1" customWidth="1"/>
    <col min="6416" max="6418" width="9.109375" style="115"/>
    <col min="6419" max="6419" width="9.5546875" style="115" bestFit="1" customWidth="1"/>
    <col min="6420" max="6664" width="9.109375" style="115"/>
    <col min="6665" max="6665" width="28.109375" style="115" customWidth="1"/>
    <col min="6666" max="6667" width="9.109375" style="115"/>
    <col min="6668" max="6668" width="0" style="115" hidden="1" customWidth="1"/>
    <col min="6669" max="6669" width="9.109375" style="115"/>
    <col min="6670" max="6670" width="12.44140625" style="115" customWidth="1"/>
    <col min="6671" max="6671" width="10.33203125" style="115" bestFit="1" customWidth="1"/>
    <col min="6672" max="6674" width="9.109375" style="115"/>
    <col min="6675" max="6675" width="9.5546875" style="115" bestFit="1" customWidth="1"/>
    <col min="6676" max="6920" width="9.109375" style="115"/>
    <col min="6921" max="6921" width="28.109375" style="115" customWidth="1"/>
    <col min="6922" max="6923" width="9.109375" style="115"/>
    <col min="6924" max="6924" width="0" style="115" hidden="1" customWidth="1"/>
    <col min="6925" max="6925" width="9.109375" style="115"/>
    <col min="6926" max="6926" width="12.44140625" style="115" customWidth="1"/>
    <col min="6927" max="6927" width="10.33203125" style="115" bestFit="1" customWidth="1"/>
    <col min="6928" max="6930" width="9.109375" style="115"/>
    <col min="6931" max="6931" width="9.5546875" style="115" bestFit="1" customWidth="1"/>
    <col min="6932" max="7176" width="9.109375" style="115"/>
    <col min="7177" max="7177" width="28.109375" style="115" customWidth="1"/>
    <col min="7178" max="7179" width="9.109375" style="115"/>
    <col min="7180" max="7180" width="0" style="115" hidden="1" customWidth="1"/>
    <col min="7181" max="7181" width="9.109375" style="115"/>
    <col min="7182" max="7182" width="12.44140625" style="115" customWidth="1"/>
    <col min="7183" max="7183" width="10.33203125" style="115" bestFit="1" customWidth="1"/>
    <col min="7184" max="7186" width="9.109375" style="115"/>
    <col min="7187" max="7187" width="9.5546875" style="115" bestFit="1" customWidth="1"/>
    <col min="7188" max="7432" width="9.109375" style="115"/>
    <col min="7433" max="7433" width="28.109375" style="115" customWidth="1"/>
    <col min="7434" max="7435" width="9.109375" style="115"/>
    <col min="7436" max="7436" width="0" style="115" hidden="1" customWidth="1"/>
    <col min="7437" max="7437" width="9.109375" style="115"/>
    <col min="7438" max="7438" width="12.44140625" style="115" customWidth="1"/>
    <col min="7439" max="7439" width="10.33203125" style="115" bestFit="1" customWidth="1"/>
    <col min="7440" max="7442" width="9.109375" style="115"/>
    <col min="7443" max="7443" width="9.5546875" style="115" bestFit="1" customWidth="1"/>
    <col min="7444" max="7688" width="9.109375" style="115"/>
    <col min="7689" max="7689" width="28.109375" style="115" customWidth="1"/>
    <col min="7690" max="7691" width="9.109375" style="115"/>
    <col min="7692" max="7692" width="0" style="115" hidden="1" customWidth="1"/>
    <col min="7693" max="7693" width="9.109375" style="115"/>
    <col min="7694" max="7694" width="12.44140625" style="115" customWidth="1"/>
    <col min="7695" max="7695" width="10.33203125" style="115" bestFit="1" customWidth="1"/>
    <col min="7696" max="7698" width="9.109375" style="115"/>
    <col min="7699" max="7699" width="9.5546875" style="115" bestFit="1" customWidth="1"/>
    <col min="7700" max="7944" width="9.109375" style="115"/>
    <col min="7945" max="7945" width="28.109375" style="115" customWidth="1"/>
    <col min="7946" max="7947" width="9.109375" style="115"/>
    <col min="7948" max="7948" width="0" style="115" hidden="1" customWidth="1"/>
    <col min="7949" max="7949" width="9.109375" style="115"/>
    <col min="7950" max="7950" width="12.44140625" style="115" customWidth="1"/>
    <col min="7951" max="7951" width="10.33203125" style="115" bestFit="1" customWidth="1"/>
    <col min="7952" max="7954" width="9.109375" style="115"/>
    <col min="7955" max="7955" width="9.5546875" style="115" bestFit="1" customWidth="1"/>
    <col min="7956" max="8200" width="9.109375" style="115"/>
    <col min="8201" max="8201" width="28.109375" style="115" customWidth="1"/>
    <col min="8202" max="8203" width="9.109375" style="115"/>
    <col min="8204" max="8204" width="0" style="115" hidden="1" customWidth="1"/>
    <col min="8205" max="8205" width="9.109375" style="115"/>
    <col min="8206" max="8206" width="12.44140625" style="115" customWidth="1"/>
    <col min="8207" max="8207" width="10.33203125" style="115" bestFit="1" customWidth="1"/>
    <col min="8208" max="8210" width="9.109375" style="115"/>
    <col min="8211" max="8211" width="9.5546875" style="115" bestFit="1" customWidth="1"/>
    <col min="8212" max="8456" width="9.109375" style="115"/>
    <col min="8457" max="8457" width="28.109375" style="115" customWidth="1"/>
    <col min="8458" max="8459" width="9.109375" style="115"/>
    <col min="8460" max="8460" width="0" style="115" hidden="1" customWidth="1"/>
    <col min="8461" max="8461" width="9.109375" style="115"/>
    <col min="8462" max="8462" width="12.44140625" style="115" customWidth="1"/>
    <col min="8463" max="8463" width="10.33203125" style="115" bestFit="1" customWidth="1"/>
    <col min="8464" max="8466" width="9.109375" style="115"/>
    <col min="8467" max="8467" width="9.5546875" style="115" bestFit="1" customWidth="1"/>
    <col min="8468" max="8712" width="9.109375" style="115"/>
    <col min="8713" max="8713" width="28.109375" style="115" customWidth="1"/>
    <col min="8714" max="8715" width="9.109375" style="115"/>
    <col min="8716" max="8716" width="0" style="115" hidden="1" customWidth="1"/>
    <col min="8717" max="8717" width="9.109375" style="115"/>
    <col min="8718" max="8718" width="12.44140625" style="115" customWidth="1"/>
    <col min="8719" max="8719" width="10.33203125" style="115" bestFit="1" customWidth="1"/>
    <col min="8720" max="8722" width="9.109375" style="115"/>
    <col min="8723" max="8723" width="9.5546875" style="115" bestFit="1" customWidth="1"/>
    <col min="8724" max="8968" width="9.109375" style="115"/>
    <col min="8969" max="8969" width="28.109375" style="115" customWidth="1"/>
    <col min="8970" max="8971" width="9.109375" style="115"/>
    <col min="8972" max="8972" width="0" style="115" hidden="1" customWidth="1"/>
    <col min="8973" max="8973" width="9.109375" style="115"/>
    <col min="8974" max="8974" width="12.44140625" style="115" customWidth="1"/>
    <col min="8975" max="8975" width="10.33203125" style="115" bestFit="1" customWidth="1"/>
    <col min="8976" max="8978" width="9.109375" style="115"/>
    <col min="8979" max="8979" width="9.5546875" style="115" bestFit="1" customWidth="1"/>
    <col min="8980" max="9224" width="9.109375" style="115"/>
    <col min="9225" max="9225" width="28.109375" style="115" customWidth="1"/>
    <col min="9226" max="9227" width="9.109375" style="115"/>
    <col min="9228" max="9228" width="0" style="115" hidden="1" customWidth="1"/>
    <col min="9229" max="9229" width="9.109375" style="115"/>
    <col min="9230" max="9230" width="12.44140625" style="115" customWidth="1"/>
    <col min="9231" max="9231" width="10.33203125" style="115" bestFit="1" customWidth="1"/>
    <col min="9232" max="9234" width="9.109375" style="115"/>
    <col min="9235" max="9235" width="9.5546875" style="115" bestFit="1" customWidth="1"/>
    <col min="9236" max="9480" width="9.109375" style="115"/>
    <col min="9481" max="9481" width="28.109375" style="115" customWidth="1"/>
    <col min="9482" max="9483" width="9.109375" style="115"/>
    <col min="9484" max="9484" width="0" style="115" hidden="1" customWidth="1"/>
    <col min="9485" max="9485" width="9.109375" style="115"/>
    <col min="9486" max="9486" width="12.44140625" style="115" customWidth="1"/>
    <col min="9487" max="9487" width="10.33203125" style="115" bestFit="1" customWidth="1"/>
    <col min="9488" max="9490" width="9.109375" style="115"/>
    <col min="9491" max="9491" width="9.5546875" style="115" bestFit="1" customWidth="1"/>
    <col min="9492" max="9736" width="9.109375" style="115"/>
    <col min="9737" max="9737" width="28.109375" style="115" customWidth="1"/>
    <col min="9738" max="9739" width="9.109375" style="115"/>
    <col min="9740" max="9740" width="0" style="115" hidden="1" customWidth="1"/>
    <col min="9741" max="9741" width="9.109375" style="115"/>
    <col min="9742" max="9742" width="12.44140625" style="115" customWidth="1"/>
    <col min="9743" max="9743" width="10.33203125" style="115" bestFit="1" customWidth="1"/>
    <col min="9744" max="9746" width="9.109375" style="115"/>
    <col min="9747" max="9747" width="9.5546875" style="115" bestFit="1" customWidth="1"/>
    <col min="9748" max="9992" width="9.109375" style="115"/>
    <col min="9993" max="9993" width="28.109375" style="115" customWidth="1"/>
    <col min="9994" max="9995" width="9.109375" style="115"/>
    <col min="9996" max="9996" width="0" style="115" hidden="1" customWidth="1"/>
    <col min="9997" max="9997" width="9.109375" style="115"/>
    <col min="9998" max="9998" width="12.44140625" style="115" customWidth="1"/>
    <col min="9999" max="9999" width="10.33203125" style="115" bestFit="1" customWidth="1"/>
    <col min="10000" max="10002" width="9.109375" style="115"/>
    <col min="10003" max="10003" width="9.5546875" style="115" bestFit="1" customWidth="1"/>
    <col min="10004" max="10248" width="9.109375" style="115"/>
    <col min="10249" max="10249" width="28.109375" style="115" customWidth="1"/>
    <col min="10250" max="10251" width="9.109375" style="115"/>
    <col min="10252" max="10252" width="0" style="115" hidden="1" customWidth="1"/>
    <col min="10253" max="10253" width="9.109375" style="115"/>
    <col min="10254" max="10254" width="12.44140625" style="115" customWidth="1"/>
    <col min="10255" max="10255" width="10.33203125" style="115" bestFit="1" customWidth="1"/>
    <col min="10256" max="10258" width="9.109375" style="115"/>
    <col min="10259" max="10259" width="9.5546875" style="115" bestFit="1" customWidth="1"/>
    <col min="10260" max="10504" width="9.109375" style="115"/>
    <col min="10505" max="10505" width="28.109375" style="115" customWidth="1"/>
    <col min="10506" max="10507" width="9.109375" style="115"/>
    <col min="10508" max="10508" width="0" style="115" hidden="1" customWidth="1"/>
    <col min="10509" max="10509" width="9.109375" style="115"/>
    <col min="10510" max="10510" width="12.44140625" style="115" customWidth="1"/>
    <col min="10511" max="10511" width="10.33203125" style="115" bestFit="1" customWidth="1"/>
    <col min="10512" max="10514" width="9.109375" style="115"/>
    <col min="10515" max="10515" width="9.5546875" style="115" bestFit="1" customWidth="1"/>
    <col min="10516" max="10760" width="9.109375" style="115"/>
    <col min="10761" max="10761" width="28.109375" style="115" customWidth="1"/>
    <col min="10762" max="10763" width="9.109375" style="115"/>
    <col min="10764" max="10764" width="0" style="115" hidden="1" customWidth="1"/>
    <col min="10765" max="10765" width="9.109375" style="115"/>
    <col min="10766" max="10766" width="12.44140625" style="115" customWidth="1"/>
    <col min="10767" max="10767" width="10.33203125" style="115" bestFit="1" customWidth="1"/>
    <col min="10768" max="10770" width="9.109375" style="115"/>
    <col min="10771" max="10771" width="9.5546875" style="115" bestFit="1" customWidth="1"/>
    <col min="10772" max="11016" width="9.109375" style="115"/>
    <col min="11017" max="11017" width="28.109375" style="115" customWidth="1"/>
    <col min="11018" max="11019" width="9.109375" style="115"/>
    <col min="11020" max="11020" width="0" style="115" hidden="1" customWidth="1"/>
    <col min="11021" max="11021" width="9.109375" style="115"/>
    <col min="11022" max="11022" width="12.44140625" style="115" customWidth="1"/>
    <col min="11023" max="11023" width="10.33203125" style="115" bestFit="1" customWidth="1"/>
    <col min="11024" max="11026" width="9.109375" style="115"/>
    <col min="11027" max="11027" width="9.5546875" style="115" bestFit="1" customWidth="1"/>
    <col min="11028" max="11272" width="9.109375" style="115"/>
    <col min="11273" max="11273" width="28.109375" style="115" customWidth="1"/>
    <col min="11274" max="11275" width="9.109375" style="115"/>
    <col min="11276" max="11276" width="0" style="115" hidden="1" customWidth="1"/>
    <col min="11277" max="11277" width="9.109375" style="115"/>
    <col min="11278" max="11278" width="12.44140625" style="115" customWidth="1"/>
    <col min="11279" max="11279" width="10.33203125" style="115" bestFit="1" customWidth="1"/>
    <col min="11280" max="11282" width="9.109375" style="115"/>
    <col min="11283" max="11283" width="9.5546875" style="115" bestFit="1" customWidth="1"/>
    <col min="11284" max="11528" width="9.109375" style="115"/>
    <col min="11529" max="11529" width="28.109375" style="115" customWidth="1"/>
    <col min="11530" max="11531" width="9.109375" style="115"/>
    <col min="11532" max="11532" width="0" style="115" hidden="1" customWidth="1"/>
    <col min="11533" max="11533" width="9.109375" style="115"/>
    <col min="11534" max="11534" width="12.44140625" style="115" customWidth="1"/>
    <col min="11535" max="11535" width="10.33203125" style="115" bestFit="1" customWidth="1"/>
    <col min="11536" max="11538" width="9.109375" style="115"/>
    <col min="11539" max="11539" width="9.5546875" style="115" bestFit="1" customWidth="1"/>
    <col min="11540" max="11784" width="9.109375" style="115"/>
    <col min="11785" max="11785" width="28.109375" style="115" customWidth="1"/>
    <col min="11786" max="11787" width="9.109375" style="115"/>
    <col min="11788" max="11788" width="0" style="115" hidden="1" customWidth="1"/>
    <col min="11789" max="11789" width="9.109375" style="115"/>
    <col min="11790" max="11790" width="12.44140625" style="115" customWidth="1"/>
    <col min="11791" max="11791" width="10.33203125" style="115" bestFit="1" customWidth="1"/>
    <col min="11792" max="11794" width="9.109375" style="115"/>
    <col min="11795" max="11795" width="9.5546875" style="115" bestFit="1" customWidth="1"/>
    <col min="11796" max="12040" width="9.109375" style="115"/>
    <col min="12041" max="12041" width="28.109375" style="115" customWidth="1"/>
    <col min="12042" max="12043" width="9.109375" style="115"/>
    <col min="12044" max="12044" width="0" style="115" hidden="1" customWidth="1"/>
    <col min="12045" max="12045" width="9.109375" style="115"/>
    <col min="12046" max="12046" width="12.44140625" style="115" customWidth="1"/>
    <col min="12047" max="12047" width="10.33203125" style="115" bestFit="1" customWidth="1"/>
    <col min="12048" max="12050" width="9.109375" style="115"/>
    <col min="12051" max="12051" width="9.5546875" style="115" bestFit="1" customWidth="1"/>
    <col min="12052" max="12296" width="9.109375" style="115"/>
    <col min="12297" max="12297" width="28.109375" style="115" customWidth="1"/>
    <col min="12298" max="12299" width="9.109375" style="115"/>
    <col min="12300" max="12300" width="0" style="115" hidden="1" customWidth="1"/>
    <col min="12301" max="12301" width="9.109375" style="115"/>
    <col min="12302" max="12302" width="12.44140625" style="115" customWidth="1"/>
    <col min="12303" max="12303" width="10.33203125" style="115" bestFit="1" customWidth="1"/>
    <col min="12304" max="12306" width="9.109375" style="115"/>
    <col min="12307" max="12307" width="9.5546875" style="115" bestFit="1" customWidth="1"/>
    <col min="12308" max="12552" width="9.109375" style="115"/>
    <col min="12553" max="12553" width="28.109375" style="115" customWidth="1"/>
    <col min="12554" max="12555" width="9.109375" style="115"/>
    <col min="12556" max="12556" width="0" style="115" hidden="1" customWidth="1"/>
    <col min="12557" max="12557" width="9.109375" style="115"/>
    <col min="12558" max="12558" width="12.44140625" style="115" customWidth="1"/>
    <col min="12559" max="12559" width="10.33203125" style="115" bestFit="1" customWidth="1"/>
    <col min="12560" max="12562" width="9.109375" style="115"/>
    <col min="12563" max="12563" width="9.5546875" style="115" bestFit="1" customWidth="1"/>
    <col min="12564" max="12808" width="9.109375" style="115"/>
    <col min="12809" max="12809" width="28.109375" style="115" customWidth="1"/>
    <col min="12810" max="12811" width="9.109375" style="115"/>
    <col min="12812" max="12812" width="0" style="115" hidden="1" customWidth="1"/>
    <col min="12813" max="12813" width="9.109375" style="115"/>
    <col min="12814" max="12814" width="12.44140625" style="115" customWidth="1"/>
    <col min="12815" max="12815" width="10.33203125" style="115" bestFit="1" customWidth="1"/>
    <col min="12816" max="12818" width="9.109375" style="115"/>
    <col min="12819" max="12819" width="9.5546875" style="115" bestFit="1" customWidth="1"/>
    <col min="12820" max="13064" width="9.109375" style="115"/>
    <col min="13065" max="13065" width="28.109375" style="115" customWidth="1"/>
    <col min="13066" max="13067" width="9.109375" style="115"/>
    <col min="13068" max="13068" width="0" style="115" hidden="1" customWidth="1"/>
    <col min="13069" max="13069" width="9.109375" style="115"/>
    <col min="13070" max="13070" width="12.44140625" style="115" customWidth="1"/>
    <col min="13071" max="13071" width="10.33203125" style="115" bestFit="1" customWidth="1"/>
    <col min="13072" max="13074" width="9.109375" style="115"/>
    <col min="13075" max="13075" width="9.5546875" style="115" bestFit="1" customWidth="1"/>
    <col min="13076" max="13320" width="9.109375" style="115"/>
    <col min="13321" max="13321" width="28.109375" style="115" customWidth="1"/>
    <col min="13322" max="13323" width="9.109375" style="115"/>
    <col min="13324" max="13324" width="0" style="115" hidden="1" customWidth="1"/>
    <col min="13325" max="13325" width="9.109375" style="115"/>
    <col min="13326" max="13326" width="12.44140625" style="115" customWidth="1"/>
    <col min="13327" max="13327" width="10.33203125" style="115" bestFit="1" customWidth="1"/>
    <col min="13328" max="13330" width="9.109375" style="115"/>
    <col min="13331" max="13331" width="9.5546875" style="115" bestFit="1" customWidth="1"/>
    <col min="13332" max="13576" width="9.109375" style="115"/>
    <col min="13577" max="13577" width="28.109375" style="115" customWidth="1"/>
    <col min="13578" max="13579" width="9.109375" style="115"/>
    <col min="13580" max="13580" width="0" style="115" hidden="1" customWidth="1"/>
    <col min="13581" max="13581" width="9.109375" style="115"/>
    <col min="13582" max="13582" width="12.44140625" style="115" customWidth="1"/>
    <col min="13583" max="13583" width="10.33203125" style="115" bestFit="1" customWidth="1"/>
    <col min="13584" max="13586" width="9.109375" style="115"/>
    <col min="13587" max="13587" width="9.5546875" style="115" bestFit="1" customWidth="1"/>
    <col min="13588" max="13832" width="9.109375" style="115"/>
    <col min="13833" max="13833" width="28.109375" style="115" customWidth="1"/>
    <col min="13834" max="13835" width="9.109375" style="115"/>
    <col min="13836" max="13836" width="0" style="115" hidden="1" customWidth="1"/>
    <col min="13837" max="13837" width="9.109375" style="115"/>
    <col min="13838" max="13838" width="12.44140625" style="115" customWidth="1"/>
    <col min="13839" max="13839" width="10.33203125" style="115" bestFit="1" customWidth="1"/>
    <col min="13840" max="13842" width="9.109375" style="115"/>
    <col min="13843" max="13843" width="9.5546875" style="115" bestFit="1" customWidth="1"/>
    <col min="13844" max="14088" width="9.109375" style="115"/>
    <col min="14089" max="14089" width="28.109375" style="115" customWidth="1"/>
    <col min="14090" max="14091" width="9.109375" style="115"/>
    <col min="14092" max="14092" width="0" style="115" hidden="1" customWidth="1"/>
    <col min="14093" max="14093" width="9.109375" style="115"/>
    <col min="14094" max="14094" width="12.44140625" style="115" customWidth="1"/>
    <col min="14095" max="14095" width="10.33203125" style="115" bestFit="1" customWidth="1"/>
    <col min="14096" max="14098" width="9.109375" style="115"/>
    <col min="14099" max="14099" width="9.5546875" style="115" bestFit="1" customWidth="1"/>
    <col min="14100" max="14344" width="9.109375" style="115"/>
    <col min="14345" max="14345" width="28.109375" style="115" customWidth="1"/>
    <col min="14346" max="14347" width="9.109375" style="115"/>
    <col min="14348" max="14348" width="0" style="115" hidden="1" customWidth="1"/>
    <col min="14349" max="14349" width="9.109375" style="115"/>
    <col min="14350" max="14350" width="12.44140625" style="115" customWidth="1"/>
    <col min="14351" max="14351" width="10.33203125" style="115" bestFit="1" customWidth="1"/>
    <col min="14352" max="14354" width="9.109375" style="115"/>
    <col min="14355" max="14355" width="9.5546875" style="115" bestFit="1" customWidth="1"/>
    <col min="14356" max="14600" width="9.109375" style="115"/>
    <col min="14601" max="14601" width="28.109375" style="115" customWidth="1"/>
    <col min="14602" max="14603" width="9.109375" style="115"/>
    <col min="14604" max="14604" width="0" style="115" hidden="1" customWidth="1"/>
    <col min="14605" max="14605" width="9.109375" style="115"/>
    <col min="14606" max="14606" width="12.44140625" style="115" customWidth="1"/>
    <col min="14607" max="14607" width="10.33203125" style="115" bestFit="1" customWidth="1"/>
    <col min="14608" max="14610" width="9.109375" style="115"/>
    <col min="14611" max="14611" width="9.5546875" style="115" bestFit="1" customWidth="1"/>
    <col min="14612" max="14856" width="9.109375" style="115"/>
    <col min="14857" max="14857" width="28.109375" style="115" customWidth="1"/>
    <col min="14858" max="14859" width="9.109375" style="115"/>
    <col min="14860" max="14860" width="0" style="115" hidden="1" customWidth="1"/>
    <col min="14861" max="14861" width="9.109375" style="115"/>
    <col min="14862" max="14862" width="12.44140625" style="115" customWidth="1"/>
    <col min="14863" max="14863" width="10.33203125" style="115" bestFit="1" customWidth="1"/>
    <col min="14864" max="14866" width="9.109375" style="115"/>
    <col min="14867" max="14867" width="9.5546875" style="115" bestFit="1" customWidth="1"/>
    <col min="14868" max="15112" width="9.109375" style="115"/>
    <col min="15113" max="15113" width="28.109375" style="115" customWidth="1"/>
    <col min="15114" max="15115" width="9.109375" style="115"/>
    <col min="15116" max="15116" width="0" style="115" hidden="1" customWidth="1"/>
    <col min="15117" max="15117" width="9.109375" style="115"/>
    <col min="15118" max="15118" width="12.44140625" style="115" customWidth="1"/>
    <col min="15119" max="15119" width="10.33203125" style="115" bestFit="1" customWidth="1"/>
    <col min="15120" max="15122" width="9.109375" style="115"/>
    <col min="15123" max="15123" width="9.5546875" style="115" bestFit="1" customWidth="1"/>
    <col min="15124" max="15368" width="9.109375" style="115"/>
    <col min="15369" max="15369" width="28.109375" style="115" customWidth="1"/>
    <col min="15370" max="15371" width="9.109375" style="115"/>
    <col min="15372" max="15372" width="0" style="115" hidden="1" customWidth="1"/>
    <col min="15373" max="15373" width="9.109375" style="115"/>
    <col min="15374" max="15374" width="12.44140625" style="115" customWidth="1"/>
    <col min="15375" max="15375" width="10.33203125" style="115" bestFit="1" customWidth="1"/>
    <col min="15376" max="15378" width="9.109375" style="115"/>
    <col min="15379" max="15379" width="9.5546875" style="115" bestFit="1" customWidth="1"/>
    <col min="15380" max="15624" width="9.109375" style="115"/>
    <col min="15625" max="15625" width="28.109375" style="115" customWidth="1"/>
    <col min="15626" max="15627" width="9.109375" style="115"/>
    <col min="15628" max="15628" width="0" style="115" hidden="1" customWidth="1"/>
    <col min="15629" max="15629" width="9.109375" style="115"/>
    <col min="15630" max="15630" width="12.44140625" style="115" customWidth="1"/>
    <col min="15631" max="15631" width="10.33203125" style="115" bestFit="1" customWidth="1"/>
    <col min="15632" max="15634" width="9.109375" style="115"/>
    <col min="15635" max="15635" width="9.5546875" style="115" bestFit="1" customWidth="1"/>
    <col min="15636" max="15880" width="9.109375" style="115"/>
    <col min="15881" max="15881" width="28.109375" style="115" customWidth="1"/>
    <col min="15882" max="15883" width="9.109375" style="115"/>
    <col min="15884" max="15884" width="0" style="115" hidden="1" customWidth="1"/>
    <col min="15885" max="15885" width="9.109375" style="115"/>
    <col min="15886" max="15886" width="12.44140625" style="115" customWidth="1"/>
    <col min="15887" max="15887" width="10.33203125" style="115" bestFit="1" customWidth="1"/>
    <col min="15888" max="15890" width="9.109375" style="115"/>
    <col min="15891" max="15891" width="9.5546875" style="115" bestFit="1" customWidth="1"/>
    <col min="15892" max="16136" width="9.109375" style="115"/>
    <col min="16137" max="16137" width="28.109375" style="115" customWidth="1"/>
    <col min="16138" max="16139" width="9.109375" style="115"/>
    <col min="16140" max="16140" width="0" style="115" hidden="1" customWidth="1"/>
    <col min="16141" max="16141" width="9.109375" style="115"/>
    <col min="16142" max="16142" width="12.44140625" style="115" customWidth="1"/>
    <col min="16143" max="16143" width="10.33203125" style="115" bestFit="1" customWidth="1"/>
    <col min="16144" max="16146" width="9.109375" style="115"/>
    <col min="16147" max="16147" width="9.5546875" style="115" bestFit="1" customWidth="1"/>
    <col min="16148" max="16384" width="9.109375" style="115"/>
  </cols>
  <sheetData>
    <row r="1" spans="2:21" ht="4.5" customHeight="1" x14ac:dyDescent="0.3"/>
    <row r="2" spans="2:21" ht="24" customHeight="1" x14ac:dyDescent="0.3">
      <c r="B2" s="750" t="s">
        <v>49</v>
      </c>
      <c r="C2" s="750"/>
      <c r="D2" s="750"/>
      <c r="E2" s="117"/>
      <c r="F2" s="117"/>
      <c r="G2" s="117"/>
      <c r="H2" s="117"/>
      <c r="I2" s="117"/>
      <c r="J2" s="117"/>
      <c r="K2" s="117"/>
      <c r="L2" s="117"/>
      <c r="M2" s="117"/>
      <c r="N2" s="117"/>
      <c r="O2" s="117"/>
      <c r="P2" s="117"/>
      <c r="Q2" s="117"/>
      <c r="R2" s="117"/>
      <c r="S2" s="117"/>
      <c r="T2" s="117"/>
      <c r="U2" s="117"/>
    </row>
    <row r="3" spans="2:21" s="116" customFormat="1" ht="47.25" customHeight="1" x14ac:dyDescent="0.3">
      <c r="B3" s="118" t="s">
        <v>39</v>
      </c>
      <c r="C3" s="118" t="s">
        <v>1</v>
      </c>
      <c r="D3" s="118" t="s">
        <v>50</v>
      </c>
      <c r="E3" s="118" t="s">
        <v>10</v>
      </c>
      <c r="F3" s="118" t="s">
        <v>51</v>
      </c>
      <c r="G3" s="118" t="s">
        <v>52</v>
      </c>
      <c r="H3" s="118" t="s">
        <v>198</v>
      </c>
      <c r="I3" s="118" t="s">
        <v>53</v>
      </c>
      <c r="J3" s="118" t="s">
        <v>54</v>
      </c>
      <c r="K3" s="118" t="s">
        <v>55</v>
      </c>
      <c r="L3" s="118" t="s">
        <v>56</v>
      </c>
      <c r="M3" s="119" t="s">
        <v>57</v>
      </c>
      <c r="N3" s="118" t="s">
        <v>58</v>
      </c>
      <c r="O3" s="118" t="s">
        <v>242</v>
      </c>
      <c r="P3" s="118" t="s">
        <v>59</v>
      </c>
      <c r="Q3" s="118" t="s">
        <v>60</v>
      </c>
      <c r="R3" s="118" t="s">
        <v>61</v>
      </c>
      <c r="S3" s="118" t="s">
        <v>62</v>
      </c>
      <c r="T3" s="118" t="s">
        <v>63</v>
      </c>
      <c r="U3" s="118" t="s">
        <v>11</v>
      </c>
    </row>
    <row r="4" spans="2:21" ht="25.5" customHeight="1" x14ac:dyDescent="0.3">
      <c r="B4" s="120">
        <v>1</v>
      </c>
      <c r="C4" s="121" t="s">
        <v>64</v>
      </c>
      <c r="D4" s="120" t="s">
        <v>65</v>
      </c>
      <c r="E4" s="669">
        <f>+'BW Abs'!L12</f>
        <v>32333.247957717849</v>
      </c>
      <c r="F4" s="122">
        <f>+(1.1/100)*E4</f>
        <v>355.6657275348964</v>
      </c>
      <c r="G4" s="122"/>
      <c r="H4" s="122"/>
      <c r="I4" s="122">
        <f>+(10/100)*E4</f>
        <v>3233.3247957717849</v>
      </c>
      <c r="J4" s="122"/>
      <c r="K4" s="122"/>
      <c r="L4" s="122"/>
      <c r="M4" s="123">
        <f>+(111/100)*E4</f>
        <v>35889.905233066813</v>
      </c>
      <c r="N4" s="122"/>
      <c r="O4" s="122"/>
      <c r="P4" s="122"/>
      <c r="Q4" s="122"/>
      <c r="R4" s="122"/>
      <c r="S4" s="122"/>
      <c r="T4" s="122"/>
      <c r="U4" s="123"/>
    </row>
    <row r="5" spans="2:21" ht="25.5" customHeight="1" x14ac:dyDescent="0.3">
      <c r="B5" s="120">
        <f>+B4+1</f>
        <v>2</v>
      </c>
      <c r="C5" s="121" t="s">
        <v>66</v>
      </c>
      <c r="D5" s="120" t="s">
        <v>103</v>
      </c>
      <c r="E5" s="122">
        <f>+'BW Abs'!V12</f>
        <v>1908.7620898534547</v>
      </c>
      <c r="F5" s="122">
        <f>+(0.55/100)*E5</f>
        <v>10.498191494194002</v>
      </c>
      <c r="G5" s="122"/>
      <c r="H5" s="122"/>
      <c r="I5" s="122">
        <f>+(3/100)*E5</f>
        <v>57.262862695603637</v>
      </c>
      <c r="J5" s="122"/>
      <c r="K5" s="122"/>
      <c r="L5" s="122"/>
      <c r="M5" s="123"/>
      <c r="N5" s="123">
        <f>+(73/100)*E5</f>
        <v>1393.3963255930219</v>
      </c>
      <c r="O5" s="123"/>
      <c r="P5" s="123">
        <f>E5*(4/100)</f>
        <v>76.350483594138183</v>
      </c>
      <c r="Q5" s="122"/>
      <c r="R5" s="122"/>
      <c r="S5" s="122"/>
      <c r="T5" s="122"/>
      <c r="U5" s="123"/>
    </row>
    <row r="6" spans="2:21" ht="25.5" customHeight="1" x14ac:dyDescent="0.3">
      <c r="B6" s="120">
        <f t="shared" ref="B6:B11" si="0">+B5+1</f>
        <v>3</v>
      </c>
      <c r="C6" s="121" t="s">
        <v>319</v>
      </c>
      <c r="D6" s="120" t="s">
        <v>65</v>
      </c>
      <c r="E6" s="122">
        <f>+'BW Abs'!K12</f>
        <v>11127.021116108961</v>
      </c>
      <c r="F6" s="122">
        <f>+(1.1/100)*E6</f>
        <v>122.39723227719858</v>
      </c>
      <c r="G6" s="122"/>
      <c r="H6" s="122"/>
      <c r="I6" s="122">
        <f>+(10/100)*E6</f>
        <v>1112.7021116108961</v>
      </c>
      <c r="J6" s="122"/>
      <c r="K6" s="122"/>
      <c r="L6" s="122"/>
      <c r="M6" s="367">
        <f>+(150/100)*E6</f>
        <v>16690.531674163441</v>
      </c>
      <c r="N6" s="122"/>
      <c r="O6" s="122"/>
      <c r="P6" s="122"/>
      <c r="Q6" s="122"/>
      <c r="R6" s="122"/>
      <c r="S6" s="122"/>
      <c r="T6" s="122"/>
      <c r="U6" s="123"/>
    </row>
    <row r="7" spans="2:21" ht="25.5" customHeight="1" x14ac:dyDescent="0.3">
      <c r="B7" s="120">
        <f t="shared" si="0"/>
        <v>4</v>
      </c>
      <c r="C7" s="121" t="s">
        <v>320</v>
      </c>
      <c r="D7" s="120" t="s">
        <v>103</v>
      </c>
      <c r="E7" s="122">
        <f>+'BW Abs'!U12</f>
        <v>257.12804238200005</v>
      </c>
      <c r="F7" s="122">
        <f>+(0.55/100)*E7</f>
        <v>1.4142042331010003</v>
      </c>
      <c r="G7" s="122"/>
      <c r="H7" s="122"/>
      <c r="I7" s="122">
        <f>+(3/100)*E7</f>
        <v>7.7138412714600015</v>
      </c>
      <c r="J7" s="122"/>
      <c r="K7" s="122"/>
      <c r="L7" s="122"/>
      <c r="M7" s="123"/>
      <c r="N7" s="367">
        <f>+(90/100)*E7</f>
        <v>231.41523814380005</v>
      </c>
      <c r="O7" s="123"/>
      <c r="P7" s="123">
        <f>E7*(4/100)</f>
        <v>10.285121695280003</v>
      </c>
      <c r="Q7" s="122"/>
      <c r="R7" s="122"/>
      <c r="S7" s="122"/>
      <c r="T7" s="122"/>
      <c r="U7" s="123"/>
    </row>
    <row r="8" spans="2:21" ht="25.5" customHeight="1" x14ac:dyDescent="0.3">
      <c r="B8" s="120">
        <f t="shared" si="0"/>
        <v>5</v>
      </c>
      <c r="C8" s="121" t="s">
        <v>242</v>
      </c>
      <c r="D8" s="120" t="s">
        <v>103</v>
      </c>
      <c r="E8" s="669">
        <f>+'Appd Brick Tile'!I17*0</f>
        <v>0</v>
      </c>
      <c r="F8" s="122">
        <f>+(1.2/100)*E8</f>
        <v>0</v>
      </c>
      <c r="G8" s="122"/>
      <c r="H8" s="122"/>
      <c r="I8" s="122">
        <f>+(9/100)*E8</f>
        <v>0</v>
      </c>
      <c r="J8" s="122"/>
      <c r="K8" s="122"/>
      <c r="L8" s="122"/>
      <c r="M8" s="123"/>
      <c r="O8" s="123">
        <f>+(365/100)*E8</f>
        <v>0</v>
      </c>
      <c r="P8" s="123">
        <f>E8*(4/100)</f>
        <v>0</v>
      </c>
      <c r="Q8" s="122"/>
      <c r="R8" s="122"/>
      <c r="S8" s="122"/>
      <c r="T8" s="122"/>
      <c r="U8" s="123"/>
    </row>
    <row r="9" spans="2:21" ht="25.5" customHeight="1" x14ac:dyDescent="0.3">
      <c r="B9" s="120">
        <f t="shared" si="0"/>
        <v>6</v>
      </c>
      <c r="C9" s="121" t="s">
        <v>68</v>
      </c>
      <c r="D9" s="120" t="s">
        <v>65</v>
      </c>
      <c r="E9" s="122">
        <f>+'Chips packing'!I34</f>
        <v>84.56580000000001</v>
      </c>
      <c r="F9" s="122"/>
      <c r="G9" s="122">
        <f>+(21/100)*E9</f>
        <v>17.758818000000002</v>
      </c>
      <c r="H9" s="122">
        <f>+(60/100)*E9</f>
        <v>50.739480000000007</v>
      </c>
      <c r="I9" s="122"/>
      <c r="J9" s="122"/>
      <c r="K9" s="122">
        <f>+(100/100)*E9</f>
        <v>84.56580000000001</v>
      </c>
      <c r="L9" s="122"/>
      <c r="M9" s="123"/>
      <c r="N9" s="122"/>
      <c r="O9" s="122"/>
      <c r="P9" s="122"/>
      <c r="Q9" s="122"/>
      <c r="R9" s="122"/>
      <c r="S9" s="122"/>
      <c r="T9" s="122"/>
      <c r="U9" s="123"/>
    </row>
    <row r="10" spans="2:21" ht="34.5" customHeight="1" x14ac:dyDescent="0.3">
      <c r="B10" s="120">
        <f t="shared" si="0"/>
        <v>7</v>
      </c>
      <c r="C10" s="121" t="s">
        <v>69</v>
      </c>
      <c r="D10" s="120" t="s">
        <v>65</v>
      </c>
      <c r="E10" s="669">
        <f>+Concrete!E23</f>
        <v>1631.3293617466604</v>
      </c>
      <c r="F10" s="122"/>
      <c r="G10" s="122">
        <f>+(21/100)*E10</f>
        <v>342.57916596679866</v>
      </c>
      <c r="H10" s="122">
        <f>+(60/100)*E10</f>
        <v>978.79761704799625</v>
      </c>
      <c r="I10" s="122"/>
      <c r="J10" s="122"/>
      <c r="K10" s="122">
        <f>+(100/100)*E10</f>
        <v>1631.3293617466604</v>
      </c>
      <c r="L10" s="122"/>
      <c r="M10" s="123"/>
      <c r="N10" s="122"/>
      <c r="O10" s="122"/>
      <c r="P10" s="122"/>
      <c r="Q10" s="122"/>
      <c r="R10" s="122"/>
      <c r="S10" s="122"/>
      <c r="T10" s="122"/>
      <c r="U10" s="123"/>
    </row>
    <row r="11" spans="2:21" ht="25.5" customHeight="1" x14ac:dyDescent="0.3">
      <c r="B11" s="120">
        <f t="shared" si="0"/>
        <v>8</v>
      </c>
      <c r="C11" s="121" t="s">
        <v>70</v>
      </c>
      <c r="D11" s="120" t="s">
        <v>65</v>
      </c>
      <c r="E11" s="122">
        <f>+Concrete!O23</f>
        <v>602.94827159800002</v>
      </c>
      <c r="F11" s="122"/>
      <c r="G11" s="122">
        <f>+(21/100)*E11</f>
        <v>126.61913703558</v>
      </c>
      <c r="H11" s="122">
        <f>+(60/100)*E11</f>
        <v>361.76896295879999</v>
      </c>
      <c r="I11" s="122"/>
      <c r="J11" s="122"/>
      <c r="K11" s="122"/>
      <c r="L11" s="122">
        <f>+(100/100)*E11</f>
        <v>602.94827159800002</v>
      </c>
      <c r="M11" s="123"/>
      <c r="N11" s="122"/>
      <c r="O11" s="122"/>
      <c r="P11" s="122"/>
      <c r="Q11" s="122">
        <f>+'Lintel Steel'!I94</f>
        <v>1771.7169554160002</v>
      </c>
      <c r="R11" s="122">
        <f>+'Lintel Steel'!J94</f>
        <v>945.56996356800028</v>
      </c>
      <c r="S11" s="122">
        <f>+(R11+Q11)*0.012</f>
        <v>32.607443027808003</v>
      </c>
      <c r="T11" s="122"/>
      <c r="U11" s="123"/>
    </row>
    <row r="12" spans="2:21" ht="25.5" customHeight="1" x14ac:dyDescent="0.3">
      <c r="B12" s="120">
        <f t="shared" ref="B12:B20" si="1">+B11+1</f>
        <v>9</v>
      </c>
      <c r="C12" s="121" t="s">
        <v>106</v>
      </c>
      <c r="D12" s="120" t="s">
        <v>65</v>
      </c>
      <c r="E12" s="122">
        <f>+Concrete!J23</f>
        <v>105.16614212599998</v>
      </c>
      <c r="F12" s="122"/>
      <c r="G12" s="122">
        <f t="shared" ref="G12:G16" si="2">+(21/100)*E12</f>
        <v>22.084889846459994</v>
      </c>
      <c r="H12" s="122">
        <f>+(60/100)*E12</f>
        <v>63.099685275599988</v>
      </c>
      <c r="I12" s="122"/>
      <c r="J12" s="122">
        <f>+(100/100)*E12</f>
        <v>105.16614212599998</v>
      </c>
      <c r="K12" s="122"/>
      <c r="L12" s="122"/>
      <c r="M12" s="123"/>
      <c r="N12" s="122"/>
      <c r="O12" s="122"/>
      <c r="P12" s="122"/>
      <c r="Q12" s="122"/>
      <c r="R12" s="122"/>
      <c r="S12" s="122"/>
      <c r="T12" s="122"/>
      <c r="U12" s="123"/>
    </row>
    <row r="13" spans="2:21" ht="25.5" customHeight="1" x14ac:dyDescent="0.3">
      <c r="B13" s="120">
        <f t="shared" si="1"/>
        <v>10</v>
      </c>
      <c r="C13" s="121" t="s">
        <v>71</v>
      </c>
      <c r="D13" s="120" t="s">
        <v>65</v>
      </c>
      <c r="E13" s="122">
        <f>+Loft!D192</f>
        <v>0</v>
      </c>
      <c r="F13" s="122"/>
      <c r="G13" s="122">
        <f t="shared" si="2"/>
        <v>0</v>
      </c>
      <c r="H13" s="122">
        <f t="shared" ref="H13:H16" si="3">+(50/100)*E13</f>
        <v>0</v>
      </c>
      <c r="I13" s="122"/>
      <c r="J13" s="122"/>
      <c r="K13" s="122"/>
      <c r="L13" s="122">
        <f>+(85/100)*E13</f>
        <v>0</v>
      </c>
      <c r="M13" s="123"/>
      <c r="N13" s="122"/>
      <c r="O13" s="122"/>
      <c r="P13" s="122"/>
      <c r="Q13" s="122">
        <f>+Loft!G192</f>
        <v>0</v>
      </c>
      <c r="R13" s="122">
        <f>+Loft!H192</f>
        <v>0</v>
      </c>
      <c r="S13" s="122">
        <f>+(R13+Q13)*0.012</f>
        <v>0</v>
      </c>
      <c r="T13" s="122"/>
      <c r="U13" s="123"/>
    </row>
    <row r="14" spans="2:21" ht="25.5" customHeight="1" x14ac:dyDescent="0.3">
      <c r="B14" s="120">
        <f t="shared" si="1"/>
        <v>11</v>
      </c>
      <c r="C14" s="121" t="s">
        <v>72</v>
      </c>
      <c r="D14" s="120" t="s">
        <v>65</v>
      </c>
      <c r="E14" s="122"/>
      <c r="F14" s="122"/>
      <c r="G14" s="122">
        <f t="shared" si="2"/>
        <v>0</v>
      </c>
      <c r="H14" s="122">
        <f t="shared" si="3"/>
        <v>0</v>
      </c>
      <c r="I14" s="122"/>
      <c r="J14" s="122"/>
      <c r="K14" s="122"/>
      <c r="L14" s="122">
        <f>+(85/100)*E14</f>
        <v>0</v>
      </c>
      <c r="M14" s="123"/>
      <c r="N14" s="122"/>
      <c r="O14" s="122"/>
      <c r="P14" s="122"/>
      <c r="Q14" s="122"/>
      <c r="R14" s="122"/>
      <c r="S14" s="122">
        <f>+(R14+Q14)*0.012</f>
        <v>0</v>
      </c>
      <c r="T14" s="122"/>
      <c r="U14" s="123"/>
    </row>
    <row r="15" spans="2:21" ht="25.5" customHeight="1" x14ac:dyDescent="0.3">
      <c r="B15" s="120">
        <f t="shared" si="1"/>
        <v>12</v>
      </c>
      <c r="C15" s="121" t="s">
        <v>73</v>
      </c>
      <c r="D15" s="120" t="s">
        <v>65</v>
      </c>
      <c r="E15" s="122"/>
      <c r="F15" s="122"/>
      <c r="G15" s="122">
        <f t="shared" si="2"/>
        <v>0</v>
      </c>
      <c r="H15" s="122">
        <f t="shared" si="3"/>
        <v>0</v>
      </c>
      <c r="I15" s="122"/>
      <c r="J15" s="122"/>
      <c r="K15" s="122"/>
      <c r="L15" s="122">
        <f>+(85/100)*E15</f>
        <v>0</v>
      </c>
      <c r="M15" s="123"/>
      <c r="N15" s="122"/>
      <c r="O15" s="122"/>
      <c r="P15" s="122"/>
      <c r="Q15" s="122"/>
      <c r="R15" s="122"/>
      <c r="S15" s="122"/>
      <c r="T15" s="122"/>
      <c r="U15" s="123"/>
    </row>
    <row r="16" spans="2:21" ht="25.5" customHeight="1" x14ac:dyDescent="0.3">
      <c r="B16" s="120">
        <f t="shared" si="1"/>
        <v>13</v>
      </c>
      <c r="C16" s="121" t="s">
        <v>74</v>
      </c>
      <c r="D16" s="120" t="s">
        <v>65</v>
      </c>
      <c r="E16" s="122"/>
      <c r="F16" s="122"/>
      <c r="G16" s="122">
        <f t="shared" si="2"/>
        <v>0</v>
      </c>
      <c r="H16" s="122">
        <f t="shared" si="3"/>
        <v>0</v>
      </c>
      <c r="I16" s="122"/>
      <c r="J16" s="122"/>
      <c r="K16" s="122">
        <f>+(85/100)*E16</f>
        <v>0</v>
      </c>
      <c r="L16" s="122"/>
      <c r="M16" s="123"/>
      <c r="N16" s="122"/>
      <c r="O16" s="122"/>
      <c r="P16" s="122"/>
      <c r="Q16" s="122"/>
      <c r="R16" s="122"/>
      <c r="S16" s="122"/>
      <c r="T16" s="122"/>
      <c r="U16" s="123"/>
    </row>
    <row r="17" spans="2:21" ht="25.5" customHeight="1" x14ac:dyDescent="0.3">
      <c r="B17" s="120">
        <f t="shared" si="1"/>
        <v>14</v>
      </c>
      <c r="C17" s="121" t="s">
        <v>75</v>
      </c>
      <c r="D17" s="120" t="s">
        <v>76</v>
      </c>
      <c r="E17" s="122"/>
      <c r="F17" s="122"/>
      <c r="G17" s="122"/>
      <c r="H17" s="122"/>
      <c r="I17" s="122"/>
      <c r="J17" s="122"/>
      <c r="K17" s="122"/>
      <c r="L17" s="122"/>
      <c r="M17" s="123"/>
      <c r="N17" s="122"/>
      <c r="O17" s="122"/>
      <c r="P17" s="122"/>
      <c r="Q17" s="122"/>
      <c r="R17" s="122"/>
      <c r="S17" s="122"/>
      <c r="T17" s="122">
        <f>+E17</f>
        <v>0</v>
      </c>
      <c r="U17" s="123"/>
    </row>
    <row r="18" spans="2:21" ht="25.5" customHeight="1" x14ac:dyDescent="0.3">
      <c r="B18" s="120">
        <f t="shared" si="1"/>
        <v>15</v>
      </c>
      <c r="C18" s="121" t="s">
        <v>77</v>
      </c>
      <c r="D18" s="120" t="s">
        <v>76</v>
      </c>
      <c r="E18" s="122"/>
      <c r="F18" s="122"/>
      <c r="G18" s="122"/>
      <c r="H18" s="122"/>
      <c r="I18" s="122"/>
      <c r="J18" s="122"/>
      <c r="K18" s="122"/>
      <c r="L18" s="122"/>
      <c r="M18" s="123"/>
      <c r="N18" s="122"/>
      <c r="O18" s="122"/>
      <c r="P18" s="122"/>
      <c r="Q18" s="122"/>
      <c r="R18" s="122"/>
      <c r="S18" s="122"/>
      <c r="T18" s="122">
        <f>+E18</f>
        <v>0</v>
      </c>
      <c r="U18" s="123"/>
    </row>
    <row r="19" spans="2:21" ht="39" customHeight="1" x14ac:dyDescent="0.3">
      <c r="B19" s="120">
        <f t="shared" si="1"/>
        <v>16</v>
      </c>
      <c r="C19" s="121" t="s">
        <v>78</v>
      </c>
      <c r="D19" s="124" t="s">
        <v>129</v>
      </c>
      <c r="E19" s="122">
        <f>+ROUNDUP('Lock Set'!F52,0)</f>
        <v>1</v>
      </c>
      <c r="F19" s="122"/>
      <c r="G19" s="122"/>
      <c r="H19" s="122"/>
      <c r="I19" s="122"/>
      <c r="J19" s="122"/>
      <c r="K19" s="122"/>
      <c r="L19" s="122"/>
      <c r="M19" s="123"/>
      <c r="N19" s="122"/>
      <c r="O19" s="122"/>
      <c r="P19" s="122"/>
      <c r="Q19" s="122"/>
      <c r="R19" s="122"/>
      <c r="S19" s="122"/>
      <c r="T19" s="122"/>
      <c r="U19" s="123"/>
    </row>
    <row r="20" spans="2:21" ht="25.5" customHeight="1" x14ac:dyDescent="0.3">
      <c r="B20" s="120">
        <f t="shared" si="1"/>
        <v>17</v>
      </c>
      <c r="C20" s="121" t="s">
        <v>79</v>
      </c>
      <c r="D20" s="124" t="s">
        <v>3</v>
      </c>
      <c r="E20" s="122"/>
      <c r="F20" s="122"/>
      <c r="G20" s="122"/>
      <c r="H20" s="122"/>
      <c r="I20" s="122"/>
      <c r="J20" s="122"/>
      <c r="K20" s="122"/>
      <c r="L20" s="122"/>
      <c r="M20" s="123"/>
      <c r="N20" s="122"/>
      <c r="O20" s="122"/>
      <c r="P20" s="122"/>
      <c r="Q20" s="122"/>
      <c r="R20" s="122"/>
      <c r="S20" s="122"/>
      <c r="T20" s="122"/>
      <c r="U20" s="123"/>
    </row>
    <row r="21" spans="2:21" ht="25.5" customHeight="1" x14ac:dyDescent="0.3">
      <c r="B21" s="125"/>
      <c r="C21" s="126" t="s">
        <v>10</v>
      </c>
      <c r="D21" s="125"/>
      <c r="E21" s="127"/>
      <c r="F21" s="128">
        <f t="shared" ref="F21:T21" si="4">SUM(F4:F20)</f>
        <v>489.97535553938991</v>
      </c>
      <c r="G21" s="128">
        <f t="shared" si="4"/>
        <v>509.04201084883869</v>
      </c>
      <c r="H21" s="128">
        <f t="shared" si="4"/>
        <v>1454.4057452823961</v>
      </c>
      <c r="I21" s="128">
        <f t="shared" si="4"/>
        <v>4411.0036113497445</v>
      </c>
      <c r="J21" s="128">
        <f t="shared" si="4"/>
        <v>105.16614212599998</v>
      </c>
      <c r="K21" s="128">
        <f t="shared" si="4"/>
        <v>1715.8951617466605</v>
      </c>
      <c r="L21" s="128">
        <f t="shared" si="4"/>
        <v>602.94827159800002</v>
      </c>
      <c r="M21" s="128">
        <f t="shared" si="4"/>
        <v>52580.436907230251</v>
      </c>
      <c r="N21" s="128">
        <f t="shared" si="4"/>
        <v>1624.8115637368219</v>
      </c>
      <c r="O21" s="128">
        <f t="shared" si="4"/>
        <v>0</v>
      </c>
      <c r="P21" s="128">
        <f t="shared" si="4"/>
        <v>86.63560528941818</v>
      </c>
      <c r="Q21" s="128">
        <f t="shared" si="4"/>
        <v>1771.7169554160002</v>
      </c>
      <c r="R21" s="128">
        <f t="shared" si="4"/>
        <v>945.56996356800028</v>
      </c>
      <c r="S21" s="128">
        <f t="shared" si="4"/>
        <v>32.607443027808003</v>
      </c>
      <c r="T21" s="128">
        <f t="shared" si="4"/>
        <v>0</v>
      </c>
      <c r="U21" s="129"/>
    </row>
    <row r="22" spans="2:21" ht="25.5" customHeight="1" x14ac:dyDescent="0.3">
      <c r="B22" s="125"/>
      <c r="C22" s="126" t="s">
        <v>80</v>
      </c>
      <c r="D22" s="125"/>
      <c r="E22" s="127"/>
      <c r="F22" s="128">
        <f>+ROUNDUP(F21,0)</f>
        <v>490</v>
      </c>
      <c r="G22" s="128">
        <f>+ROUNDUP(G21,0)</f>
        <v>510</v>
      </c>
      <c r="H22" s="128">
        <f t="shared" ref="H22:T22" si="5">+ROUNDUP(H21,0)</f>
        <v>1455</v>
      </c>
      <c r="I22" s="128">
        <f t="shared" si="5"/>
        <v>4412</v>
      </c>
      <c r="J22" s="128">
        <f t="shared" si="5"/>
        <v>106</v>
      </c>
      <c r="K22" s="128">
        <f t="shared" si="5"/>
        <v>1716</v>
      </c>
      <c r="L22" s="128">
        <f t="shared" si="5"/>
        <v>603</v>
      </c>
      <c r="M22" s="128">
        <f t="shared" si="5"/>
        <v>52581</v>
      </c>
      <c r="N22" s="128">
        <f t="shared" si="5"/>
        <v>1625</v>
      </c>
      <c r="O22" s="128">
        <f t="shared" ref="O22" si="6">+ROUNDUP(O21,0)</f>
        <v>0</v>
      </c>
      <c r="P22" s="128">
        <f t="shared" si="5"/>
        <v>87</v>
      </c>
      <c r="Q22" s="128">
        <f t="shared" si="5"/>
        <v>1772</v>
      </c>
      <c r="R22" s="128">
        <f t="shared" si="5"/>
        <v>946</v>
      </c>
      <c r="S22" s="128">
        <f t="shared" si="5"/>
        <v>33</v>
      </c>
      <c r="T22" s="128">
        <f t="shared" si="5"/>
        <v>0</v>
      </c>
      <c r="U22" s="129"/>
    </row>
    <row r="23" spans="2:21" ht="22.5" customHeight="1" x14ac:dyDescent="0.3">
      <c r="B23" s="130"/>
      <c r="C23" s="130"/>
      <c r="D23" s="124"/>
      <c r="E23" s="124"/>
      <c r="F23" s="124"/>
      <c r="G23" s="124"/>
      <c r="H23" s="124"/>
      <c r="I23" s="124"/>
      <c r="J23" s="124"/>
      <c r="K23" s="124"/>
      <c r="L23" s="124"/>
      <c r="M23" s="124"/>
      <c r="N23" s="124"/>
      <c r="O23" s="124"/>
      <c r="P23" s="124"/>
      <c r="Q23" s="130"/>
      <c r="R23" s="130"/>
      <c r="S23" s="130"/>
      <c r="T23" s="130"/>
      <c r="U23" s="131"/>
    </row>
    <row r="24" spans="2:21" x14ac:dyDescent="0.3">
      <c r="G24" s="132"/>
      <c r="H24" s="132"/>
      <c r="M24" s="133"/>
    </row>
    <row r="29" spans="2:21" s="116" customFormat="1" x14ac:dyDescent="0.3"/>
    <row r="33" spans="5:5" x14ac:dyDescent="0.3">
      <c r="E33" s="116">
        <v>84350</v>
      </c>
    </row>
    <row r="34" spans="5:5" x14ac:dyDescent="0.3">
      <c r="E34" s="116">
        <v>84694</v>
      </c>
    </row>
    <row r="35" spans="5:5" x14ac:dyDescent="0.3">
      <c r="E35" s="116">
        <f>+E34-E33</f>
        <v>344</v>
      </c>
    </row>
  </sheetData>
  <mergeCells count="1">
    <mergeCell ref="B2:D2"/>
  </mergeCells>
  <pageMargins left="0.5" right="0.48" top="0.75" bottom="0.75" header="0.3" footer="0.3"/>
  <pageSetup scale="95" orientation="landscape" verticalDpi="0" r:id="rId1"/>
  <ignoredErrors>
    <ignoredError sqref="I5:T8 F5:F6 I13:T20 I9:J9 L9:T9 L10:T10 I11:K11 M11:T11 I12 K12:T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3"/>
  <sheetViews>
    <sheetView topLeftCell="A25" workbookViewId="0">
      <selection activeCell="B26" sqref="B26"/>
    </sheetView>
  </sheetViews>
  <sheetFormatPr defaultColWidth="4.5546875" defaultRowHeight="13.8" x14ac:dyDescent="0.25"/>
  <cols>
    <col min="1" max="1" width="3.6640625" style="290" bestFit="1" customWidth="1"/>
    <col min="2" max="2" width="40.33203125" style="290" customWidth="1"/>
    <col min="3" max="3" width="8" style="290" customWidth="1"/>
    <col min="4" max="4" width="8.6640625" style="290" bestFit="1" customWidth="1"/>
    <col min="5" max="5" width="10.44140625" style="290" bestFit="1" customWidth="1"/>
    <col min="6" max="6" width="11.44140625" style="290" customWidth="1"/>
    <col min="7" max="7" width="16.33203125" style="290" bestFit="1" customWidth="1"/>
    <col min="8" max="8" width="4.5546875" style="290"/>
    <col min="9" max="9" width="10.44140625" style="290" bestFit="1" customWidth="1"/>
    <col min="10" max="16384" width="4.5546875" style="290"/>
  </cols>
  <sheetData>
    <row r="1" spans="1:7" x14ac:dyDescent="0.25">
      <c r="A1" s="751" t="s">
        <v>209</v>
      </c>
      <c r="B1" s="751"/>
      <c r="C1" s="751"/>
      <c r="D1" s="751"/>
      <c r="E1" s="751"/>
      <c r="F1" s="751"/>
      <c r="G1" s="751"/>
    </row>
    <row r="2" spans="1:7" s="291" customFormat="1" x14ac:dyDescent="0.3">
      <c r="A2" s="752" t="s">
        <v>274</v>
      </c>
      <c r="B2" s="752"/>
      <c r="C2" s="752"/>
      <c r="D2" s="752"/>
      <c r="E2" s="752"/>
      <c r="F2" s="752"/>
      <c r="G2" s="752"/>
    </row>
    <row r="3" spans="1:7" ht="27.6" x14ac:dyDescent="0.25">
      <c r="A3" s="318" t="s">
        <v>39</v>
      </c>
      <c r="B3" s="319" t="s">
        <v>210</v>
      </c>
      <c r="C3" s="319" t="s">
        <v>50</v>
      </c>
      <c r="D3" s="319" t="s">
        <v>275</v>
      </c>
      <c r="E3" s="319" t="s">
        <v>276</v>
      </c>
      <c r="F3" s="319" t="s">
        <v>211</v>
      </c>
      <c r="G3" s="319" t="s">
        <v>165</v>
      </c>
    </row>
    <row r="4" spans="1:7" x14ac:dyDescent="0.25">
      <c r="A4" s="319">
        <v>1</v>
      </c>
      <c r="B4" s="753" t="s">
        <v>277</v>
      </c>
      <c r="C4" s="754"/>
      <c r="D4" s="754"/>
      <c r="E4" s="754"/>
      <c r="F4" s="754"/>
      <c r="G4" s="755"/>
    </row>
    <row r="5" spans="1:7" x14ac:dyDescent="0.25">
      <c r="A5" s="320"/>
      <c r="B5" s="321" t="s">
        <v>278</v>
      </c>
      <c r="C5" s="322" t="s">
        <v>279</v>
      </c>
      <c r="D5" s="322"/>
      <c r="E5" s="323">
        <v>5959.1516397847954</v>
      </c>
      <c r="F5" s="323">
        <f>1*35.315</f>
        <v>35.314999999999998</v>
      </c>
      <c r="G5" s="323">
        <f>E5*F5</f>
        <v>210447.44015900005</v>
      </c>
    </row>
    <row r="6" spans="1:7" ht="27.6" x14ac:dyDescent="0.25">
      <c r="A6" s="320"/>
      <c r="B6" s="321" t="s">
        <v>280</v>
      </c>
      <c r="C6" s="322" t="s">
        <v>279</v>
      </c>
      <c r="D6" s="322"/>
      <c r="E6" s="323">
        <v>35.380029675775162</v>
      </c>
      <c r="F6" s="323">
        <f>41.0590400679598*35.315</f>
        <v>1450.0000000000002</v>
      </c>
      <c r="G6" s="323">
        <f t="shared" ref="G6:G29" si="0">E6*F6</f>
        <v>51301.043029873996</v>
      </c>
    </row>
    <row r="7" spans="1:7" ht="27.6" x14ac:dyDescent="0.25">
      <c r="A7" s="320"/>
      <c r="B7" s="321" t="s">
        <v>281</v>
      </c>
      <c r="C7" s="322" t="s">
        <v>103</v>
      </c>
      <c r="D7" s="322"/>
      <c r="E7" s="323">
        <v>1166.2829999999999</v>
      </c>
      <c r="F7" s="323">
        <v>18</v>
      </c>
      <c r="G7" s="323">
        <f t="shared" si="0"/>
        <v>20993.093999999997</v>
      </c>
    </row>
    <row r="8" spans="1:7" ht="27.6" x14ac:dyDescent="0.25">
      <c r="A8" s="320"/>
      <c r="B8" s="321" t="s">
        <v>282</v>
      </c>
      <c r="C8" s="322" t="s">
        <v>279</v>
      </c>
      <c r="D8" s="322"/>
      <c r="E8" s="323">
        <v>212.56814384822312</v>
      </c>
      <c r="F8" s="323">
        <f>45.0233611779697*35.315</f>
        <v>1589.9999999999998</v>
      </c>
      <c r="G8" s="323">
        <f t="shared" si="0"/>
        <v>337983.34871867468</v>
      </c>
    </row>
    <row r="9" spans="1:7" ht="27.6" x14ac:dyDescent="0.25">
      <c r="A9" s="320"/>
      <c r="B9" s="321" t="s">
        <v>283</v>
      </c>
      <c r="C9" s="322" t="s">
        <v>103</v>
      </c>
      <c r="D9" s="322"/>
      <c r="E9" s="323">
        <v>7582.25</v>
      </c>
      <c r="F9" s="323">
        <v>55</v>
      </c>
      <c r="G9" s="323">
        <f t="shared" si="0"/>
        <v>417023.75</v>
      </c>
    </row>
    <row r="10" spans="1:7" ht="27.6" x14ac:dyDescent="0.25">
      <c r="A10" s="320"/>
      <c r="B10" s="321" t="s">
        <v>284</v>
      </c>
      <c r="C10" s="322" t="s">
        <v>285</v>
      </c>
      <c r="D10" s="322"/>
      <c r="E10" s="323">
        <v>22720.79604356295</v>
      </c>
      <c r="F10" s="323">
        <v>9</v>
      </c>
      <c r="G10" s="323">
        <f t="shared" si="0"/>
        <v>204487.16439206654</v>
      </c>
    </row>
    <row r="11" spans="1:7" x14ac:dyDescent="0.25">
      <c r="A11" s="320"/>
      <c r="B11" s="321" t="s">
        <v>286</v>
      </c>
      <c r="C11" s="322" t="s">
        <v>103</v>
      </c>
      <c r="D11" s="322"/>
      <c r="E11" s="323">
        <v>2731.3111799999997</v>
      </c>
      <c r="F11" s="323">
        <v>5.75</v>
      </c>
      <c r="G11" s="323">
        <f t="shared" si="0"/>
        <v>15705.039284999999</v>
      </c>
    </row>
    <row r="12" spans="1:7" ht="27.6" x14ac:dyDescent="0.25">
      <c r="A12" s="320"/>
      <c r="B12" s="321" t="s">
        <v>287</v>
      </c>
      <c r="C12" s="322" t="s">
        <v>279</v>
      </c>
      <c r="D12" s="322"/>
      <c r="E12" s="323">
        <v>19.335347444428713</v>
      </c>
      <c r="F12" s="323">
        <f>41.0590400679598*35.315</f>
        <v>1450.0000000000002</v>
      </c>
      <c r="G12" s="323">
        <f t="shared" si="0"/>
        <v>28036.253794421638</v>
      </c>
    </row>
    <row r="13" spans="1:7" ht="27.6" x14ac:dyDescent="0.25">
      <c r="A13" s="320"/>
      <c r="B13" s="321" t="s">
        <v>288</v>
      </c>
      <c r="C13" s="322" t="s">
        <v>103</v>
      </c>
      <c r="D13" s="322"/>
      <c r="E13" s="323">
        <v>1167.2269999999987</v>
      </c>
      <c r="F13" s="323">
        <v>18</v>
      </c>
      <c r="G13" s="323">
        <f t="shared" si="0"/>
        <v>21010.085999999978</v>
      </c>
    </row>
    <row r="14" spans="1:7" ht="27.6" x14ac:dyDescent="0.25">
      <c r="A14" s="320"/>
      <c r="B14" s="321" t="s">
        <v>289</v>
      </c>
      <c r="C14" s="322" t="s">
        <v>279</v>
      </c>
      <c r="D14" s="322"/>
      <c r="E14" s="323">
        <v>55.361892255415526</v>
      </c>
      <c r="F14" s="323">
        <f>45.0233611779697*35.315</f>
        <v>1589.9999999999998</v>
      </c>
      <c r="G14" s="323">
        <f t="shared" si="0"/>
        <v>88025.408686110677</v>
      </c>
    </row>
    <row r="15" spans="1:7" ht="27.6" x14ac:dyDescent="0.25">
      <c r="A15" s="320"/>
      <c r="B15" s="321" t="s">
        <v>290</v>
      </c>
      <c r="C15" s="322" t="s">
        <v>103</v>
      </c>
      <c r="D15" s="322"/>
      <c r="E15" s="323">
        <v>5836.1349999999857</v>
      </c>
      <c r="F15" s="323">
        <v>60.026000000000003</v>
      </c>
      <c r="G15" s="323">
        <f t="shared" si="0"/>
        <v>350319.83950999915</v>
      </c>
    </row>
    <row r="16" spans="1:7" ht="27.6" x14ac:dyDescent="0.25">
      <c r="A16" s="320"/>
      <c r="B16" s="321" t="s">
        <v>291</v>
      </c>
      <c r="C16" s="322" t="s">
        <v>279</v>
      </c>
      <c r="D16" s="322"/>
      <c r="E16" s="323">
        <v>6.5773263485770919</v>
      </c>
      <c r="F16" s="323">
        <f>45.0233611779697*35.315</f>
        <v>1589.9999999999998</v>
      </c>
      <c r="G16" s="323">
        <f t="shared" si="0"/>
        <v>10457.948894237574</v>
      </c>
    </row>
    <row r="17" spans="1:7" ht="27.6" x14ac:dyDescent="0.25">
      <c r="A17" s="320"/>
      <c r="B17" s="321" t="s">
        <v>292</v>
      </c>
      <c r="C17" s="322" t="s">
        <v>103</v>
      </c>
      <c r="D17" s="322"/>
      <c r="E17" s="323">
        <v>1074.7359999999999</v>
      </c>
      <c r="F17" s="323">
        <v>60.026000000000003</v>
      </c>
      <c r="G17" s="323">
        <f t="shared" si="0"/>
        <v>64512.103135999998</v>
      </c>
    </row>
    <row r="18" spans="1:7" ht="27.6" x14ac:dyDescent="0.25">
      <c r="A18" s="320"/>
      <c r="B18" s="321" t="s">
        <v>293</v>
      </c>
      <c r="C18" s="322" t="s">
        <v>3</v>
      </c>
      <c r="D18" s="322"/>
      <c r="E18" s="323">
        <v>172</v>
      </c>
      <c r="F18" s="323">
        <v>150</v>
      </c>
      <c r="G18" s="323">
        <f t="shared" si="0"/>
        <v>25800</v>
      </c>
    </row>
    <row r="19" spans="1:7" ht="27.6" x14ac:dyDescent="0.25">
      <c r="A19" s="320"/>
      <c r="B19" s="321" t="s">
        <v>294</v>
      </c>
      <c r="C19" s="322" t="s">
        <v>103</v>
      </c>
      <c r="D19" s="322"/>
      <c r="E19" s="323">
        <v>5941.125</v>
      </c>
      <c r="F19" s="323">
        <v>60.03</v>
      </c>
      <c r="G19" s="323">
        <f t="shared" si="0"/>
        <v>356645.73375000001</v>
      </c>
    </row>
    <row r="20" spans="1:7" ht="27.6" x14ac:dyDescent="0.25">
      <c r="A20" s="320"/>
      <c r="B20" s="321" t="s">
        <v>295</v>
      </c>
      <c r="C20" s="322" t="s">
        <v>279</v>
      </c>
      <c r="D20" s="322"/>
      <c r="E20" s="323">
        <v>53.150219453490024</v>
      </c>
      <c r="F20" s="323">
        <f>45.0233611779697*35.315</f>
        <v>1589.9999999999998</v>
      </c>
      <c r="G20" s="323">
        <f t="shared" si="0"/>
        <v>84508.848931049128</v>
      </c>
    </row>
    <row r="21" spans="1:7" ht="41.4" x14ac:dyDescent="0.25">
      <c r="A21" s="320"/>
      <c r="B21" s="321" t="s">
        <v>296</v>
      </c>
      <c r="C21" s="322" t="s">
        <v>103</v>
      </c>
      <c r="D21" s="322"/>
      <c r="E21" s="323">
        <v>384</v>
      </c>
      <c r="F21" s="323">
        <v>35</v>
      </c>
      <c r="G21" s="323">
        <f t="shared" si="0"/>
        <v>13440</v>
      </c>
    </row>
    <row r="22" spans="1:7" ht="27.6" x14ac:dyDescent="0.25">
      <c r="A22" s="320"/>
      <c r="B22" s="321" t="s">
        <v>297</v>
      </c>
      <c r="C22" s="322" t="s">
        <v>279</v>
      </c>
      <c r="D22" s="322"/>
      <c r="E22" s="323">
        <v>11.213365425456606</v>
      </c>
      <c r="F22" s="323">
        <f>41.0590400679598*35.315</f>
        <v>1450.0000000000002</v>
      </c>
      <c r="G22" s="323">
        <f t="shared" si="0"/>
        <v>16259.379866912082</v>
      </c>
    </row>
    <row r="23" spans="1:7" x14ac:dyDescent="0.25">
      <c r="A23" s="320"/>
      <c r="B23" s="321" t="s">
        <v>298</v>
      </c>
      <c r="C23" s="322" t="s">
        <v>103</v>
      </c>
      <c r="D23" s="322"/>
      <c r="E23" s="323">
        <v>537.36799999999994</v>
      </c>
      <c r="F23" s="323">
        <v>23.229882921390075</v>
      </c>
      <c r="G23" s="323">
        <f t="shared" si="0"/>
        <v>12482.995725701541</v>
      </c>
    </row>
    <row r="24" spans="1:7" ht="27.6" x14ac:dyDescent="0.25">
      <c r="A24" s="320"/>
      <c r="B24" s="321" t="s">
        <v>299</v>
      </c>
      <c r="C24" s="322" t="s">
        <v>279</v>
      </c>
      <c r="D24" s="322"/>
      <c r="E24" s="323">
        <v>59.044046439190161</v>
      </c>
      <c r="F24" s="323">
        <f>45.0233611779697*35.315</f>
        <v>1589.9999999999998</v>
      </c>
      <c r="G24" s="323">
        <f t="shared" si="0"/>
        <v>93880.033838312345</v>
      </c>
    </row>
    <row r="25" spans="1:7" ht="27.6" x14ac:dyDescent="0.25">
      <c r="A25" s="320"/>
      <c r="B25" s="321" t="s">
        <v>300</v>
      </c>
      <c r="C25" s="322" t="s">
        <v>103</v>
      </c>
      <c r="D25" s="322"/>
      <c r="E25" s="323">
        <v>6217.0171999999984</v>
      </c>
      <c r="F25" s="323">
        <v>60.026000000000003</v>
      </c>
      <c r="G25" s="323">
        <f t="shared" si="0"/>
        <v>373182.67444719991</v>
      </c>
    </row>
    <row r="26" spans="1:7" s="292" customFormat="1" ht="27.6" x14ac:dyDescent="0.25">
      <c r="A26" s="320"/>
      <c r="B26" s="321" t="s">
        <v>301</v>
      </c>
      <c r="C26" s="322" t="s">
        <v>103</v>
      </c>
      <c r="D26" s="322"/>
      <c r="E26" s="323">
        <v>6677</v>
      </c>
      <c r="F26" s="323">
        <v>43.207582233785537</v>
      </c>
      <c r="G26" s="323">
        <f t="shared" si="0"/>
        <v>288497.02657498606</v>
      </c>
    </row>
    <row r="27" spans="1:7" x14ac:dyDescent="0.25">
      <c r="A27" s="320"/>
      <c r="B27" s="321" t="s">
        <v>302</v>
      </c>
      <c r="C27" s="322" t="s">
        <v>103</v>
      </c>
      <c r="D27" s="322"/>
      <c r="E27" s="323">
        <v>2015</v>
      </c>
      <c r="F27" s="323">
        <v>23.229882921390075</v>
      </c>
      <c r="G27" s="323">
        <f t="shared" si="0"/>
        <v>46808.214086601001</v>
      </c>
    </row>
    <row r="28" spans="1:7" x14ac:dyDescent="0.25">
      <c r="A28" s="320"/>
      <c r="B28" s="321" t="s">
        <v>303</v>
      </c>
      <c r="C28" s="322" t="s">
        <v>103</v>
      </c>
      <c r="D28" s="322"/>
      <c r="E28" s="323">
        <v>22135</v>
      </c>
      <c r="F28" s="323">
        <v>2</v>
      </c>
      <c r="G28" s="323">
        <f t="shared" si="0"/>
        <v>44270</v>
      </c>
    </row>
    <row r="29" spans="1:7" ht="110.4" x14ac:dyDescent="0.25">
      <c r="A29" s="320"/>
      <c r="B29" s="321" t="s">
        <v>304</v>
      </c>
      <c r="C29" s="322" t="s">
        <v>103</v>
      </c>
      <c r="D29" s="324"/>
      <c r="E29" s="325">
        <v>22135</v>
      </c>
      <c r="F29" s="325">
        <v>12</v>
      </c>
      <c r="G29" s="325">
        <f t="shared" si="0"/>
        <v>265620</v>
      </c>
    </row>
    <row r="30" spans="1:7" x14ac:dyDescent="0.25">
      <c r="A30" s="326"/>
      <c r="B30" s="321"/>
      <c r="C30" s="322"/>
      <c r="D30" s="324"/>
      <c r="E30" s="325"/>
      <c r="F30" s="325"/>
      <c r="G30" s="327">
        <f>SUM(G5:G29)</f>
        <v>3441697.426826146</v>
      </c>
    </row>
    <row r="31" spans="1:7" x14ac:dyDescent="0.25">
      <c r="A31" s="328">
        <v>2</v>
      </c>
      <c r="B31" s="329" t="s">
        <v>191</v>
      </c>
      <c r="C31" s="330"/>
      <c r="D31" s="331"/>
      <c r="E31" s="331"/>
      <c r="F31" s="331"/>
      <c r="G31" s="331"/>
    </row>
    <row r="32" spans="1:7" x14ac:dyDescent="0.25">
      <c r="A32" s="328"/>
      <c r="B32" s="329" t="s">
        <v>212</v>
      </c>
      <c r="C32" s="330" t="s">
        <v>103</v>
      </c>
      <c r="D32" s="327">
        <f>SUM(F33:F34)</f>
        <v>140</v>
      </c>
      <c r="E32" s="331"/>
      <c r="F32" s="331"/>
      <c r="G32" s="331"/>
    </row>
    <row r="33" spans="1:9" ht="27.6" x14ac:dyDescent="0.25">
      <c r="A33" s="328"/>
      <c r="B33" s="332" t="s">
        <v>305</v>
      </c>
      <c r="C33" s="330" t="s">
        <v>103</v>
      </c>
      <c r="D33" s="331"/>
      <c r="E33" s="331">
        <v>22135</v>
      </c>
      <c r="F33" s="331">
        <v>45</v>
      </c>
      <c r="G33" s="331">
        <f t="shared" ref="G33:G34" si="1">+E33*F33</f>
        <v>996075</v>
      </c>
    </row>
    <row r="34" spans="1:9" ht="27.6" x14ac:dyDescent="0.25">
      <c r="A34" s="328"/>
      <c r="B34" s="332" t="s">
        <v>214</v>
      </c>
      <c r="C34" s="330" t="s">
        <v>103</v>
      </c>
      <c r="D34" s="331"/>
      <c r="E34" s="331">
        <f t="shared" ref="E34" si="2">+E33</f>
        <v>22135</v>
      </c>
      <c r="F34" s="331">
        <v>95</v>
      </c>
      <c r="G34" s="331">
        <f t="shared" si="1"/>
        <v>2102825</v>
      </c>
    </row>
    <row r="35" spans="1:9" x14ac:dyDescent="0.25">
      <c r="A35" s="328"/>
      <c r="B35" s="332"/>
      <c r="C35" s="330"/>
      <c r="D35" s="331"/>
      <c r="E35" s="331"/>
      <c r="F35" s="331"/>
      <c r="G35" s="327">
        <f>SUM(G33:G34)</f>
        <v>3098900</v>
      </c>
    </row>
    <row r="36" spans="1:9" x14ac:dyDescent="0.25">
      <c r="A36" s="333">
        <v>3</v>
      </c>
      <c r="B36" s="334" t="s">
        <v>306</v>
      </c>
      <c r="C36" s="335"/>
      <c r="D36" s="327">
        <f>SUM(F38:F51)</f>
        <v>301</v>
      </c>
      <c r="E36" s="336"/>
      <c r="F36" s="331"/>
      <c r="G36" s="331"/>
    </row>
    <row r="37" spans="1:9" x14ac:dyDescent="0.25">
      <c r="A37" s="333"/>
      <c r="B37" s="334" t="s">
        <v>212</v>
      </c>
      <c r="C37" s="335"/>
      <c r="D37" s="327"/>
      <c r="E37" s="336"/>
      <c r="F37" s="331"/>
      <c r="G37" s="331"/>
    </row>
    <row r="38" spans="1:9" ht="27.6" x14ac:dyDescent="0.25">
      <c r="A38" s="328"/>
      <c r="B38" s="332" t="s">
        <v>305</v>
      </c>
      <c r="C38" s="330" t="s">
        <v>103</v>
      </c>
      <c r="D38" s="331"/>
      <c r="E38" s="331">
        <v>16009</v>
      </c>
      <c r="F38" s="331">
        <v>35</v>
      </c>
      <c r="G38" s="331">
        <f t="shared" ref="G38:G39" si="3">+E38*F38</f>
        <v>560315</v>
      </c>
      <c r="I38" s="337">
        <f>+E38+E55</f>
        <v>79693</v>
      </c>
    </row>
    <row r="39" spans="1:9" ht="27.6" x14ac:dyDescent="0.25">
      <c r="A39" s="328"/>
      <c r="B39" s="332" t="s">
        <v>214</v>
      </c>
      <c r="C39" s="330" t="s">
        <v>103</v>
      </c>
      <c r="D39" s="331"/>
      <c r="E39" s="331">
        <f t="shared" ref="E39" si="4">+E38</f>
        <v>16009</v>
      </c>
      <c r="F39" s="331">
        <v>95</v>
      </c>
      <c r="G39" s="331">
        <f t="shared" si="3"/>
        <v>1520855</v>
      </c>
    </row>
    <row r="40" spans="1:9" ht="55.2" x14ac:dyDescent="0.25">
      <c r="A40" s="333"/>
      <c r="B40" s="338" t="s">
        <v>192</v>
      </c>
      <c r="C40" s="335" t="s">
        <v>103</v>
      </c>
      <c r="D40" s="331"/>
      <c r="E40" s="339">
        <f>E39</f>
        <v>16009</v>
      </c>
      <c r="F40" s="340">
        <v>40</v>
      </c>
      <c r="G40" s="340">
        <f t="shared" ref="G40:G51" si="5">E40*F40</f>
        <v>640360</v>
      </c>
    </row>
    <row r="41" spans="1:9" ht="41.4" x14ac:dyDescent="0.25">
      <c r="A41" s="333"/>
      <c r="B41" s="338" t="s">
        <v>215</v>
      </c>
      <c r="C41" s="335" t="s">
        <v>103</v>
      </c>
      <c r="D41" s="331"/>
      <c r="E41" s="339">
        <f>E40</f>
        <v>16009</v>
      </c>
      <c r="F41" s="340">
        <v>7</v>
      </c>
      <c r="G41" s="340">
        <f t="shared" si="5"/>
        <v>112063</v>
      </c>
    </row>
    <row r="42" spans="1:9" ht="55.2" x14ac:dyDescent="0.25">
      <c r="A42" s="333"/>
      <c r="B42" s="338" t="s">
        <v>216</v>
      </c>
      <c r="C42" s="335" t="s">
        <v>103</v>
      </c>
      <c r="D42" s="331"/>
      <c r="E42" s="339">
        <f>+E40</f>
        <v>16009</v>
      </c>
      <c r="F42" s="340">
        <v>45</v>
      </c>
      <c r="G42" s="340">
        <f t="shared" si="5"/>
        <v>720405</v>
      </c>
    </row>
    <row r="43" spans="1:9" ht="55.2" x14ac:dyDescent="0.25">
      <c r="A43" s="333"/>
      <c r="B43" s="338" t="s">
        <v>217</v>
      </c>
      <c r="C43" s="335" t="s">
        <v>103</v>
      </c>
      <c r="D43" s="331"/>
      <c r="E43" s="339">
        <f t="shared" ref="E43:E51" si="6">+E42</f>
        <v>16009</v>
      </c>
      <c r="F43" s="340">
        <v>50</v>
      </c>
      <c r="G43" s="340">
        <f t="shared" si="5"/>
        <v>800450</v>
      </c>
    </row>
    <row r="44" spans="1:9" s="292" customFormat="1" ht="41.4" x14ac:dyDescent="0.25">
      <c r="A44" s="333"/>
      <c r="B44" s="338" t="s">
        <v>218</v>
      </c>
      <c r="C44" s="335" t="s">
        <v>103</v>
      </c>
      <c r="D44" s="331"/>
      <c r="E44" s="339">
        <f>+E43</f>
        <v>16009</v>
      </c>
      <c r="F44" s="340">
        <v>5</v>
      </c>
      <c r="G44" s="340">
        <f t="shared" si="5"/>
        <v>80045</v>
      </c>
    </row>
    <row r="45" spans="1:9" x14ac:dyDescent="0.25">
      <c r="A45" s="333"/>
      <c r="B45" s="338" t="s">
        <v>219</v>
      </c>
      <c r="C45" s="335" t="s">
        <v>103</v>
      </c>
      <c r="D45" s="331"/>
      <c r="E45" s="339">
        <f>+E44</f>
        <v>16009</v>
      </c>
      <c r="F45" s="340">
        <v>5</v>
      </c>
      <c r="G45" s="340">
        <f t="shared" si="5"/>
        <v>80045</v>
      </c>
    </row>
    <row r="46" spans="1:9" ht="27.6" x14ac:dyDescent="0.25">
      <c r="A46" s="333"/>
      <c r="B46" s="338" t="s">
        <v>220</v>
      </c>
      <c r="C46" s="335" t="s">
        <v>103</v>
      </c>
      <c r="D46" s="331"/>
      <c r="E46" s="339">
        <f>+E45</f>
        <v>16009</v>
      </c>
      <c r="F46" s="340">
        <v>3</v>
      </c>
      <c r="G46" s="340">
        <f t="shared" si="5"/>
        <v>48027</v>
      </c>
    </row>
    <row r="47" spans="1:9" x14ac:dyDescent="0.25">
      <c r="A47" s="333"/>
      <c r="B47" s="338" t="s">
        <v>221</v>
      </c>
      <c r="C47" s="335" t="s">
        <v>103</v>
      </c>
      <c r="D47" s="331"/>
      <c r="E47" s="339">
        <f>+E46</f>
        <v>16009</v>
      </c>
      <c r="F47" s="340">
        <v>4</v>
      </c>
      <c r="G47" s="340">
        <f t="shared" si="5"/>
        <v>64036</v>
      </c>
    </row>
    <row r="48" spans="1:9" x14ac:dyDescent="0.25">
      <c r="A48" s="333"/>
      <c r="B48" s="338" t="s">
        <v>222</v>
      </c>
      <c r="C48" s="335" t="s">
        <v>103</v>
      </c>
      <c r="D48" s="331"/>
      <c r="E48" s="339">
        <f t="shared" si="6"/>
        <v>16009</v>
      </c>
      <c r="F48" s="340">
        <v>3</v>
      </c>
      <c r="G48" s="340">
        <f t="shared" si="5"/>
        <v>48027</v>
      </c>
    </row>
    <row r="49" spans="1:7" ht="27.6" x14ac:dyDescent="0.25">
      <c r="A49" s="333"/>
      <c r="B49" s="338" t="s">
        <v>223</v>
      </c>
      <c r="C49" s="335" t="s">
        <v>103</v>
      </c>
      <c r="D49" s="331"/>
      <c r="E49" s="339">
        <f t="shared" si="6"/>
        <v>16009</v>
      </c>
      <c r="F49" s="340">
        <v>3</v>
      </c>
      <c r="G49" s="340">
        <f t="shared" si="5"/>
        <v>48027</v>
      </c>
    </row>
    <row r="50" spans="1:7" ht="27.6" x14ac:dyDescent="0.25">
      <c r="A50" s="333"/>
      <c r="B50" s="338" t="s">
        <v>224</v>
      </c>
      <c r="C50" s="335"/>
      <c r="D50" s="331"/>
      <c r="E50" s="339">
        <f t="shared" si="6"/>
        <v>16009</v>
      </c>
      <c r="F50" s="340">
        <v>3</v>
      </c>
      <c r="G50" s="340">
        <f t="shared" si="5"/>
        <v>48027</v>
      </c>
    </row>
    <row r="51" spans="1:7" ht="27.6" x14ac:dyDescent="0.25">
      <c r="A51" s="333"/>
      <c r="B51" s="338" t="s">
        <v>225</v>
      </c>
      <c r="C51" s="335" t="s">
        <v>103</v>
      </c>
      <c r="D51" s="331"/>
      <c r="E51" s="339">
        <f t="shared" si="6"/>
        <v>16009</v>
      </c>
      <c r="F51" s="340">
        <v>3</v>
      </c>
      <c r="G51" s="340">
        <f t="shared" si="5"/>
        <v>48027</v>
      </c>
    </row>
    <row r="52" spans="1:7" x14ac:dyDescent="0.25">
      <c r="A52" s="341"/>
      <c r="B52" s="342" t="s">
        <v>171</v>
      </c>
      <c r="C52" s="343"/>
      <c r="D52" s="327"/>
      <c r="E52" s="344"/>
      <c r="F52" s="344"/>
      <c r="G52" s="344">
        <f>SUM(G38:G51)</f>
        <v>4818709</v>
      </c>
    </row>
    <row r="53" spans="1:7" ht="27.6" x14ac:dyDescent="0.25">
      <c r="A53" s="333">
        <v>4</v>
      </c>
      <c r="B53" s="334" t="s">
        <v>307</v>
      </c>
      <c r="C53" s="335"/>
      <c r="D53" s="327">
        <f>SUM(F55:F68)</f>
        <v>301</v>
      </c>
      <c r="E53" s="336"/>
      <c r="F53" s="331"/>
      <c r="G53" s="331"/>
    </row>
    <row r="54" spans="1:7" s="291" customFormat="1" x14ac:dyDescent="0.3">
      <c r="A54" s="333"/>
      <c r="B54" s="334" t="s">
        <v>212</v>
      </c>
      <c r="C54" s="335"/>
      <c r="D54" s="327"/>
      <c r="E54" s="336"/>
      <c r="F54" s="331"/>
      <c r="G54" s="331"/>
    </row>
    <row r="55" spans="1:7" s="291" customFormat="1" ht="27.6" x14ac:dyDescent="0.3">
      <c r="A55" s="328"/>
      <c r="B55" s="332" t="s">
        <v>305</v>
      </c>
      <c r="C55" s="330" t="s">
        <v>103</v>
      </c>
      <c r="D55" s="331"/>
      <c r="E55" s="331">
        <f>4*15921</f>
        <v>63684</v>
      </c>
      <c r="F55" s="331">
        <v>35</v>
      </c>
      <c r="G55" s="331">
        <f t="shared" ref="G55:G56" si="7">+E55*F55</f>
        <v>2228940</v>
      </c>
    </row>
    <row r="56" spans="1:7" s="291" customFormat="1" ht="27.6" x14ac:dyDescent="0.3">
      <c r="A56" s="328"/>
      <c r="B56" s="332" t="s">
        <v>214</v>
      </c>
      <c r="C56" s="330" t="s">
        <v>103</v>
      </c>
      <c r="D56" s="331"/>
      <c r="E56" s="331">
        <f t="shared" ref="E56" si="8">+E55</f>
        <v>63684</v>
      </c>
      <c r="F56" s="331">
        <v>95</v>
      </c>
      <c r="G56" s="331">
        <f t="shared" si="7"/>
        <v>6049980</v>
      </c>
    </row>
    <row r="57" spans="1:7" s="291" customFormat="1" ht="55.2" x14ac:dyDescent="0.3">
      <c r="A57" s="333"/>
      <c r="B57" s="338" t="s">
        <v>192</v>
      </c>
      <c r="C57" s="335" t="s">
        <v>103</v>
      </c>
      <c r="D57" s="331"/>
      <c r="E57" s="339">
        <f>E56</f>
        <v>63684</v>
      </c>
      <c r="F57" s="340">
        <v>40</v>
      </c>
      <c r="G57" s="340">
        <f t="shared" ref="G57:G68" si="9">E57*F57</f>
        <v>2547360</v>
      </c>
    </row>
    <row r="58" spans="1:7" ht="41.4" x14ac:dyDescent="0.25">
      <c r="A58" s="333"/>
      <c r="B58" s="338" t="s">
        <v>215</v>
      </c>
      <c r="C58" s="335" t="s">
        <v>103</v>
      </c>
      <c r="D58" s="331"/>
      <c r="E58" s="339">
        <f>E57</f>
        <v>63684</v>
      </c>
      <c r="F58" s="340">
        <v>7</v>
      </c>
      <c r="G58" s="340">
        <f t="shared" si="9"/>
        <v>445788</v>
      </c>
    </row>
    <row r="59" spans="1:7" ht="55.2" x14ac:dyDescent="0.25">
      <c r="A59" s="333"/>
      <c r="B59" s="338" t="s">
        <v>216</v>
      </c>
      <c r="C59" s="335" t="s">
        <v>103</v>
      </c>
      <c r="D59" s="331"/>
      <c r="E59" s="339">
        <f>+E57</f>
        <v>63684</v>
      </c>
      <c r="F59" s="340">
        <v>45</v>
      </c>
      <c r="G59" s="340">
        <f t="shared" si="9"/>
        <v>2865780</v>
      </c>
    </row>
    <row r="60" spans="1:7" ht="55.2" x14ac:dyDescent="0.25">
      <c r="A60" s="333"/>
      <c r="B60" s="338" t="s">
        <v>217</v>
      </c>
      <c r="C60" s="335" t="s">
        <v>103</v>
      </c>
      <c r="D60" s="331"/>
      <c r="E60" s="339">
        <f t="shared" ref="E60:E68" si="10">+E59</f>
        <v>63684</v>
      </c>
      <c r="F60" s="340">
        <v>50</v>
      </c>
      <c r="G60" s="340">
        <f t="shared" si="9"/>
        <v>3184200</v>
      </c>
    </row>
    <row r="61" spans="1:7" ht="41.4" x14ac:dyDescent="0.25">
      <c r="A61" s="333"/>
      <c r="B61" s="338" t="s">
        <v>218</v>
      </c>
      <c r="C61" s="335" t="s">
        <v>103</v>
      </c>
      <c r="D61" s="331"/>
      <c r="E61" s="339">
        <f>+E60</f>
        <v>63684</v>
      </c>
      <c r="F61" s="340">
        <v>5</v>
      </c>
      <c r="G61" s="340">
        <f t="shared" si="9"/>
        <v>318420</v>
      </c>
    </row>
    <row r="62" spans="1:7" x14ac:dyDescent="0.25">
      <c r="A62" s="333"/>
      <c r="B62" s="338" t="s">
        <v>219</v>
      </c>
      <c r="C62" s="335" t="s">
        <v>103</v>
      </c>
      <c r="D62" s="331"/>
      <c r="E62" s="339">
        <f>+E61</f>
        <v>63684</v>
      </c>
      <c r="F62" s="340">
        <v>5</v>
      </c>
      <c r="G62" s="340">
        <f t="shared" si="9"/>
        <v>318420</v>
      </c>
    </row>
    <row r="63" spans="1:7" ht="27.6" x14ac:dyDescent="0.25">
      <c r="A63" s="333"/>
      <c r="B63" s="338" t="s">
        <v>220</v>
      </c>
      <c r="C63" s="335" t="s">
        <v>103</v>
      </c>
      <c r="D63" s="331"/>
      <c r="E63" s="339">
        <f>+E62</f>
        <v>63684</v>
      </c>
      <c r="F63" s="340">
        <v>3</v>
      </c>
      <c r="G63" s="340">
        <f t="shared" si="9"/>
        <v>191052</v>
      </c>
    </row>
    <row r="64" spans="1:7" x14ac:dyDescent="0.25">
      <c r="A64" s="333"/>
      <c r="B64" s="338" t="s">
        <v>221</v>
      </c>
      <c r="C64" s="335" t="s">
        <v>103</v>
      </c>
      <c r="D64" s="331"/>
      <c r="E64" s="339">
        <f>+E63</f>
        <v>63684</v>
      </c>
      <c r="F64" s="340">
        <v>4</v>
      </c>
      <c r="G64" s="340">
        <f t="shared" si="9"/>
        <v>254736</v>
      </c>
    </row>
    <row r="65" spans="1:7" x14ac:dyDescent="0.25">
      <c r="A65" s="333"/>
      <c r="B65" s="338" t="s">
        <v>222</v>
      </c>
      <c r="C65" s="335" t="s">
        <v>103</v>
      </c>
      <c r="D65" s="331"/>
      <c r="E65" s="339">
        <f t="shared" si="10"/>
        <v>63684</v>
      </c>
      <c r="F65" s="340">
        <v>3</v>
      </c>
      <c r="G65" s="340">
        <f t="shared" si="9"/>
        <v>191052</v>
      </c>
    </row>
    <row r="66" spans="1:7" ht="27.6" x14ac:dyDescent="0.25">
      <c r="A66" s="333"/>
      <c r="B66" s="338" t="s">
        <v>223</v>
      </c>
      <c r="C66" s="335" t="s">
        <v>103</v>
      </c>
      <c r="D66" s="331"/>
      <c r="E66" s="339">
        <f t="shared" si="10"/>
        <v>63684</v>
      </c>
      <c r="F66" s="340">
        <v>3</v>
      </c>
      <c r="G66" s="340">
        <f t="shared" si="9"/>
        <v>191052</v>
      </c>
    </row>
    <row r="67" spans="1:7" ht="27.6" x14ac:dyDescent="0.25">
      <c r="A67" s="333"/>
      <c r="B67" s="338" t="s">
        <v>224</v>
      </c>
      <c r="C67" s="335"/>
      <c r="D67" s="331"/>
      <c r="E67" s="339">
        <f t="shared" si="10"/>
        <v>63684</v>
      </c>
      <c r="F67" s="340">
        <v>3</v>
      </c>
      <c r="G67" s="340">
        <f t="shared" si="9"/>
        <v>191052</v>
      </c>
    </row>
    <row r="68" spans="1:7" ht="27.6" x14ac:dyDescent="0.25">
      <c r="A68" s="333"/>
      <c r="B68" s="338" t="s">
        <v>225</v>
      </c>
      <c r="C68" s="335" t="s">
        <v>103</v>
      </c>
      <c r="D68" s="331"/>
      <c r="E68" s="339">
        <f t="shared" si="10"/>
        <v>63684</v>
      </c>
      <c r="F68" s="340">
        <v>3</v>
      </c>
      <c r="G68" s="340">
        <f t="shared" si="9"/>
        <v>191052</v>
      </c>
    </row>
    <row r="69" spans="1:7" x14ac:dyDescent="0.25">
      <c r="A69" s="341"/>
      <c r="B69" s="342" t="s">
        <v>171</v>
      </c>
      <c r="C69" s="343"/>
      <c r="D69" s="327"/>
      <c r="E69" s="344"/>
      <c r="F69" s="344"/>
      <c r="G69" s="344">
        <f>SUM(G55:G68)</f>
        <v>19168884</v>
      </c>
    </row>
    <row r="70" spans="1:7" x14ac:dyDescent="0.25">
      <c r="A70" s="333">
        <f>+A53+1</f>
        <v>5</v>
      </c>
      <c r="B70" s="334" t="s">
        <v>226</v>
      </c>
      <c r="C70" s="335"/>
      <c r="D70" s="327">
        <f>SUM(F72:F78)</f>
        <v>301</v>
      </c>
      <c r="E70" s="340"/>
      <c r="F70" s="331"/>
      <c r="G70" s="331"/>
    </row>
    <row r="71" spans="1:7" x14ac:dyDescent="0.25">
      <c r="A71" s="333"/>
      <c r="B71" s="334" t="s">
        <v>212</v>
      </c>
      <c r="C71" s="335"/>
      <c r="D71" s="327"/>
      <c r="E71" s="340"/>
      <c r="F71" s="331"/>
      <c r="G71" s="331"/>
    </row>
    <row r="72" spans="1:7" ht="27.6" x14ac:dyDescent="0.25">
      <c r="A72" s="333"/>
      <c r="B72" s="338" t="s">
        <v>308</v>
      </c>
      <c r="C72" s="335" t="s">
        <v>103</v>
      </c>
      <c r="D72" s="327"/>
      <c r="E72" s="345">
        <v>480</v>
      </c>
      <c r="F72" s="331">
        <v>150</v>
      </c>
      <c r="G72" s="340">
        <f t="shared" ref="G72:G78" si="11">E72*F72</f>
        <v>72000</v>
      </c>
    </row>
    <row r="73" spans="1:7" ht="41.4" x14ac:dyDescent="0.25">
      <c r="A73" s="333"/>
      <c r="B73" s="338" t="s">
        <v>227</v>
      </c>
      <c r="C73" s="335" t="s">
        <v>103</v>
      </c>
      <c r="D73" s="327"/>
      <c r="E73" s="345">
        <f t="shared" ref="E73:E78" si="12">E72</f>
        <v>480</v>
      </c>
      <c r="F73" s="331">
        <v>85</v>
      </c>
      <c r="G73" s="340">
        <f t="shared" si="11"/>
        <v>40800</v>
      </c>
    </row>
    <row r="74" spans="1:7" ht="41.4" x14ac:dyDescent="0.25">
      <c r="A74" s="333"/>
      <c r="B74" s="338" t="s">
        <v>228</v>
      </c>
      <c r="C74" s="335" t="s">
        <v>103</v>
      </c>
      <c r="D74" s="327"/>
      <c r="E74" s="345">
        <f t="shared" si="12"/>
        <v>480</v>
      </c>
      <c r="F74" s="331">
        <v>8</v>
      </c>
      <c r="G74" s="340">
        <f t="shared" si="11"/>
        <v>3840</v>
      </c>
    </row>
    <row r="75" spans="1:7" ht="27.6" x14ac:dyDescent="0.25">
      <c r="A75" s="333"/>
      <c r="B75" s="338" t="s">
        <v>229</v>
      </c>
      <c r="C75" s="335" t="s">
        <v>103</v>
      </c>
      <c r="D75" s="327"/>
      <c r="E75" s="345">
        <f t="shared" si="12"/>
        <v>480</v>
      </c>
      <c r="F75" s="331">
        <v>13</v>
      </c>
      <c r="G75" s="340">
        <f t="shared" si="11"/>
        <v>6240</v>
      </c>
    </row>
    <row r="76" spans="1:7" ht="27.6" x14ac:dyDescent="0.25">
      <c r="A76" s="333"/>
      <c r="B76" s="338" t="s">
        <v>230</v>
      </c>
      <c r="C76" s="335" t="s">
        <v>103</v>
      </c>
      <c r="D76" s="331"/>
      <c r="E76" s="345">
        <f t="shared" si="12"/>
        <v>480</v>
      </c>
      <c r="F76" s="340">
        <v>15</v>
      </c>
      <c r="G76" s="340">
        <f t="shared" si="11"/>
        <v>7200</v>
      </c>
    </row>
    <row r="77" spans="1:7" x14ac:dyDescent="0.25">
      <c r="A77" s="333"/>
      <c r="B77" s="338" t="s">
        <v>231</v>
      </c>
      <c r="C77" s="335" t="s">
        <v>103</v>
      </c>
      <c r="D77" s="331"/>
      <c r="E77" s="345">
        <f t="shared" si="12"/>
        <v>480</v>
      </c>
      <c r="F77" s="340">
        <v>15</v>
      </c>
      <c r="G77" s="340">
        <f t="shared" si="11"/>
        <v>7200</v>
      </c>
    </row>
    <row r="78" spans="1:7" x14ac:dyDescent="0.25">
      <c r="A78" s="333"/>
      <c r="B78" s="338" t="s">
        <v>232</v>
      </c>
      <c r="C78" s="335" t="s">
        <v>103</v>
      </c>
      <c r="D78" s="331"/>
      <c r="E78" s="345">
        <f t="shared" si="12"/>
        <v>480</v>
      </c>
      <c r="F78" s="340">
        <v>15</v>
      </c>
      <c r="G78" s="340">
        <f t="shared" si="11"/>
        <v>7200</v>
      </c>
    </row>
    <row r="79" spans="1:7" x14ac:dyDescent="0.25">
      <c r="A79" s="341"/>
      <c r="B79" s="342" t="s">
        <v>171</v>
      </c>
      <c r="C79" s="346"/>
      <c r="D79" s="344"/>
      <c r="E79" s="344"/>
      <c r="F79" s="344"/>
      <c r="G79" s="344">
        <f>SUM(G72:G78)</f>
        <v>144480</v>
      </c>
    </row>
    <row r="80" spans="1:7" ht="14.4" thickBot="1" x14ac:dyDescent="0.3">
      <c r="A80" s="347"/>
      <c r="B80" s="348" t="s">
        <v>233</v>
      </c>
      <c r="C80" s="349"/>
      <c r="D80" s="350"/>
      <c r="E80" s="350"/>
      <c r="F80" s="350"/>
      <c r="G80" s="350">
        <f>G79+G69+G52+G35+G30</f>
        <v>30672670.426826145</v>
      </c>
    </row>
    <row r="81" spans="1:7" x14ac:dyDescent="0.25">
      <c r="A81" s="351"/>
      <c r="B81" s="352"/>
      <c r="C81" s="353"/>
      <c r="D81" s="354"/>
      <c r="E81" s="354"/>
      <c r="F81" s="354"/>
      <c r="G81" s="354"/>
    </row>
    <row r="82" spans="1:7" x14ac:dyDescent="0.25">
      <c r="A82" s="351"/>
      <c r="B82" s="352"/>
      <c r="C82" s="353"/>
      <c r="D82" s="354"/>
      <c r="E82" s="354"/>
      <c r="F82" s="354"/>
      <c r="G82" s="354"/>
    </row>
    <row r="83" spans="1:7" x14ac:dyDescent="0.25">
      <c r="G83" s="354"/>
    </row>
  </sheetData>
  <mergeCells count="3">
    <mergeCell ref="A1:G1"/>
    <mergeCell ref="A2:G2"/>
    <mergeCell ref="B4:G4"/>
  </mergeCells>
  <pageMargins left="0.35" right="0.11" top="0.5" bottom="0.21" header="0.17" footer="0.41"/>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G125"/>
  <sheetViews>
    <sheetView workbookViewId="0">
      <selection activeCell="G20" sqref="G20"/>
    </sheetView>
  </sheetViews>
  <sheetFormatPr defaultColWidth="9.109375" defaultRowHeight="14.4" x14ac:dyDescent="0.3"/>
  <cols>
    <col min="1" max="1" width="2.109375" style="1" bestFit="1" customWidth="1"/>
    <col min="2" max="2" width="5.88671875" style="1" customWidth="1"/>
    <col min="3" max="3" width="42.109375" style="1" customWidth="1"/>
    <col min="4" max="4" width="10.6640625" style="1" bestFit="1" customWidth="1"/>
    <col min="5" max="5" width="12.6640625" style="1" customWidth="1"/>
    <col min="6" max="8" width="10.6640625" style="1" customWidth="1"/>
    <col min="9" max="9" width="13.33203125" style="39" bestFit="1" customWidth="1"/>
    <col min="10" max="10" width="14.44140625" style="3" bestFit="1" customWidth="1"/>
    <col min="11" max="11" width="9.6640625" style="3" customWidth="1"/>
    <col min="12" max="12" width="11" style="3" customWidth="1"/>
    <col min="13" max="13" width="14.44140625" style="3" bestFit="1" customWidth="1"/>
    <col min="14" max="14" width="13" style="1" customWidth="1"/>
    <col min="15" max="15" width="9.109375" style="1"/>
    <col min="16" max="16" width="18.33203125" style="3" customWidth="1"/>
    <col min="17" max="17" width="11.6640625" style="3" bestFit="1" customWidth="1"/>
    <col min="18" max="31" width="9.109375" style="3"/>
    <col min="32" max="16384" width="9.109375" style="1"/>
  </cols>
  <sheetData>
    <row r="1" spans="2:31" s="2" customFormat="1" ht="19.649999999999999" customHeight="1" x14ac:dyDescent="0.3">
      <c r="B1" s="756" t="s">
        <v>536</v>
      </c>
      <c r="C1" s="756"/>
      <c r="D1" s="756"/>
      <c r="E1" s="756"/>
      <c r="F1" s="756"/>
      <c r="G1" s="756"/>
      <c r="H1" s="756"/>
      <c r="I1" s="756"/>
      <c r="J1" s="756"/>
      <c r="K1" s="187"/>
      <c r="L1" s="187"/>
      <c r="M1" s="187"/>
      <c r="N1" s="188"/>
      <c r="P1" s="5"/>
      <c r="Q1" s="5"/>
      <c r="R1" s="5"/>
      <c r="S1" s="5"/>
      <c r="T1" s="5"/>
      <c r="U1" s="5"/>
      <c r="V1" s="5"/>
      <c r="W1" s="185"/>
      <c r="X1" s="185"/>
      <c r="Y1" s="185"/>
      <c r="Z1" s="185"/>
      <c r="AA1" s="185"/>
      <c r="AB1" s="185"/>
      <c r="AC1" s="185"/>
      <c r="AD1" s="185"/>
      <c r="AE1" s="185"/>
    </row>
    <row r="2" spans="2:31" s="2" customFormat="1" x14ac:dyDescent="0.3">
      <c r="B2" s="657" t="s">
        <v>46</v>
      </c>
      <c r="C2" s="657" t="s">
        <v>1</v>
      </c>
      <c r="D2" s="657" t="s">
        <v>3</v>
      </c>
      <c r="E2" s="657" t="s">
        <v>3</v>
      </c>
      <c r="F2" s="657" t="s">
        <v>537</v>
      </c>
      <c r="G2" s="657" t="s">
        <v>538</v>
      </c>
      <c r="H2" s="657" t="s">
        <v>539</v>
      </c>
      <c r="I2" s="657" t="s">
        <v>23</v>
      </c>
      <c r="J2" s="657" t="s">
        <v>11</v>
      </c>
      <c r="K2" s="188"/>
      <c r="M2" s="185"/>
      <c r="N2" s="185"/>
      <c r="O2" s="185"/>
      <c r="P2" s="185"/>
      <c r="Q2" s="185"/>
      <c r="R2" s="185"/>
      <c r="S2" s="185"/>
      <c r="T2" s="185"/>
      <c r="U2" s="185"/>
      <c r="V2" s="185"/>
      <c r="W2" s="185"/>
      <c r="X2" s="185"/>
      <c r="Y2" s="185"/>
      <c r="Z2" s="185"/>
    </row>
    <row r="3" spans="2:31" s="2" customFormat="1" x14ac:dyDescent="0.3">
      <c r="B3" s="658"/>
      <c r="C3" s="659" t="s">
        <v>540</v>
      </c>
      <c r="D3" s="658"/>
      <c r="E3" s="658"/>
      <c r="F3" s="658"/>
      <c r="G3" s="658"/>
      <c r="H3" s="658"/>
      <c r="I3" s="658"/>
      <c r="J3" s="658"/>
      <c r="K3" s="188"/>
      <c r="M3" s="185"/>
      <c r="N3" s="185"/>
      <c r="O3" s="185"/>
      <c r="P3" s="185"/>
      <c r="Q3" s="185"/>
      <c r="R3" s="185"/>
      <c r="S3" s="185"/>
      <c r="T3" s="185"/>
      <c r="U3" s="185"/>
      <c r="V3" s="185"/>
      <c r="W3" s="185"/>
      <c r="X3" s="185"/>
      <c r="Y3" s="185"/>
      <c r="Z3" s="185"/>
    </row>
    <row r="4" spans="2:31" s="2" customFormat="1" x14ac:dyDescent="0.3">
      <c r="B4" s="658">
        <v>1</v>
      </c>
      <c r="C4" s="659" t="s">
        <v>428</v>
      </c>
      <c r="D4" s="658"/>
      <c r="E4" s="658"/>
      <c r="F4" s="658"/>
      <c r="G4" s="658"/>
      <c r="H4" s="658"/>
      <c r="I4" s="660"/>
      <c r="J4" s="658"/>
      <c r="K4" s="188"/>
      <c r="M4" s="5"/>
      <c r="N4" s="5"/>
      <c r="O4" s="5"/>
      <c r="P4" s="5"/>
      <c r="Q4" s="5"/>
      <c r="R4" s="5"/>
      <c r="S4" s="5"/>
      <c r="T4" s="5"/>
      <c r="U4" s="5"/>
      <c r="V4" s="5"/>
      <c r="W4" s="5"/>
      <c r="X4" s="5"/>
      <c r="Y4" s="5"/>
      <c r="Z4" s="5"/>
    </row>
    <row r="5" spans="2:31" s="2" customFormat="1" x14ac:dyDescent="0.3">
      <c r="B5" s="661"/>
      <c r="C5" s="662" t="s">
        <v>541</v>
      </c>
      <c r="D5" s="661">
        <v>1</v>
      </c>
      <c r="E5" s="661">
        <v>1</v>
      </c>
      <c r="F5" s="661">
        <f>+(1.8+0.1+0.1+1.2+0.1+0.1)*2*3.281</f>
        <v>22.310800000000004</v>
      </c>
      <c r="G5" s="661">
        <f>0.2*3.281</f>
        <v>0.65620000000000012</v>
      </c>
      <c r="H5" s="661"/>
      <c r="I5" s="661">
        <f>+PRODUCT(D5:H5)</f>
        <v>14.640346960000006</v>
      </c>
      <c r="J5" s="663"/>
      <c r="K5" s="207"/>
      <c r="M5" s="5"/>
      <c r="N5" s="5"/>
      <c r="O5" s="5"/>
      <c r="P5" s="5"/>
      <c r="Q5" s="5"/>
      <c r="R5" s="5"/>
      <c r="S5" s="5"/>
      <c r="T5" s="5"/>
      <c r="U5" s="5"/>
      <c r="V5" s="5"/>
      <c r="W5" s="5"/>
      <c r="X5" s="5"/>
      <c r="Y5" s="5"/>
      <c r="Z5" s="5"/>
    </row>
    <row r="6" spans="2:31" s="2" customFormat="1" x14ac:dyDescent="0.3">
      <c r="B6" s="661"/>
      <c r="C6" s="662" t="s">
        <v>542</v>
      </c>
      <c r="D6" s="661">
        <v>1</v>
      </c>
      <c r="E6" s="661">
        <v>0</v>
      </c>
      <c r="F6" s="661">
        <f>+(1.8+0.1+0.1+1.2+0.1+0.1)*2*3.281</f>
        <v>22.310800000000004</v>
      </c>
      <c r="G6" s="661">
        <f>0.2*3.281</f>
        <v>0.65620000000000012</v>
      </c>
      <c r="H6" s="661"/>
      <c r="I6" s="661">
        <f>+PRODUCT(D6:H6)</f>
        <v>0</v>
      </c>
      <c r="J6" s="663"/>
      <c r="K6" s="207"/>
      <c r="L6" s="186"/>
      <c r="M6" s="5"/>
      <c r="N6" s="5"/>
      <c r="O6" s="5"/>
      <c r="P6" s="5"/>
      <c r="Q6" s="5"/>
      <c r="R6" s="5"/>
      <c r="S6" s="5"/>
      <c r="T6" s="5"/>
      <c r="U6" s="5"/>
      <c r="V6" s="5"/>
      <c r="W6" s="5"/>
      <c r="X6" s="5"/>
      <c r="Y6" s="5"/>
      <c r="Z6" s="5"/>
    </row>
    <row r="7" spans="2:31" s="2" customFormat="1" x14ac:dyDescent="0.3">
      <c r="B7" s="661"/>
      <c r="C7" s="662" t="s">
        <v>543</v>
      </c>
      <c r="D7" s="661">
        <v>1</v>
      </c>
      <c r="E7" s="661">
        <v>25</v>
      </c>
      <c r="F7" s="661">
        <f>+(1.8+0.1+0.1+1.2+0.1+0.1)*2*3.281</f>
        <v>22.310800000000004</v>
      </c>
      <c r="G7" s="661">
        <f>0.2*3.281</f>
        <v>0.65620000000000012</v>
      </c>
      <c r="H7" s="661"/>
      <c r="I7" s="661">
        <f>+PRODUCT(D7:H7)</f>
        <v>366.00867400000016</v>
      </c>
      <c r="J7" s="663"/>
      <c r="K7" s="207"/>
      <c r="L7" s="186"/>
      <c r="M7" s="5"/>
      <c r="N7" s="5"/>
      <c r="O7" s="5"/>
      <c r="P7" s="5"/>
      <c r="Q7" s="5"/>
      <c r="R7" s="5"/>
      <c r="S7" s="5"/>
      <c r="T7" s="5"/>
      <c r="U7" s="5"/>
      <c r="V7" s="5"/>
      <c r="W7" s="5"/>
      <c r="X7" s="5"/>
      <c r="Y7" s="5"/>
      <c r="Z7" s="5"/>
    </row>
    <row r="8" spans="2:31" s="2" customFormat="1" x14ac:dyDescent="0.3">
      <c r="B8" s="661"/>
      <c r="C8" s="662" t="s">
        <v>544</v>
      </c>
      <c r="D8" s="661">
        <v>1</v>
      </c>
      <c r="E8" s="661">
        <v>12</v>
      </c>
      <c r="F8" s="661">
        <f>+(1.8+0.1+0.1+1.2+0.1+0.1)*2*3.281</f>
        <v>22.310800000000004</v>
      </c>
      <c r="G8" s="661">
        <f>0.2*3.281</f>
        <v>0.65620000000000012</v>
      </c>
      <c r="H8" s="661"/>
      <c r="I8" s="661">
        <f>+PRODUCT(D8:H8)</f>
        <v>175.68416352000008</v>
      </c>
      <c r="J8" s="663"/>
      <c r="K8" s="207"/>
      <c r="L8" s="186"/>
      <c r="M8" s="5"/>
      <c r="N8" s="5"/>
      <c r="O8" s="5"/>
      <c r="P8" s="5"/>
      <c r="Q8" s="5"/>
      <c r="R8" s="5"/>
      <c r="S8" s="5"/>
      <c r="T8" s="5"/>
      <c r="U8" s="5"/>
      <c r="V8" s="5"/>
      <c r="W8" s="5"/>
      <c r="X8" s="5"/>
      <c r="Y8" s="5"/>
      <c r="Z8" s="5"/>
    </row>
    <row r="9" spans="2:31" s="2" customFormat="1" x14ac:dyDescent="0.3">
      <c r="B9" s="658"/>
      <c r="C9" s="659" t="s">
        <v>429</v>
      </c>
      <c r="D9" s="658"/>
      <c r="E9" s="658"/>
      <c r="F9" s="658"/>
      <c r="G9" s="658"/>
      <c r="H9" s="658"/>
      <c r="I9" s="660"/>
      <c r="J9" s="658"/>
      <c r="K9" s="188"/>
      <c r="M9" s="5"/>
      <c r="N9" s="5"/>
      <c r="O9" s="5"/>
      <c r="P9" s="5"/>
      <c r="Q9" s="5"/>
      <c r="R9" s="5"/>
      <c r="S9" s="5"/>
      <c r="T9" s="5"/>
      <c r="U9" s="5"/>
      <c r="V9" s="5"/>
      <c r="W9" s="5"/>
      <c r="X9" s="5"/>
      <c r="Y9" s="5"/>
      <c r="Z9" s="5"/>
    </row>
    <row r="10" spans="2:31" s="2" customFormat="1" x14ac:dyDescent="0.3">
      <c r="B10" s="661"/>
      <c r="C10" s="662" t="s">
        <v>541</v>
      </c>
      <c r="D10" s="661">
        <v>3</v>
      </c>
      <c r="E10" s="661">
        <v>3</v>
      </c>
      <c r="F10" s="661">
        <f>+(1.8+0.1+0.1+1.2+0.1+0.1)*2*3.281</f>
        <v>22.310800000000004</v>
      </c>
      <c r="G10" s="661">
        <f>0.2*3.281</f>
        <v>0.65620000000000012</v>
      </c>
      <c r="H10" s="661"/>
      <c r="I10" s="661">
        <f>+PRODUCT(D10:H10)</f>
        <v>131.76312264000003</v>
      </c>
      <c r="J10" s="663"/>
      <c r="K10" s="207"/>
      <c r="M10" s="5"/>
      <c r="N10" s="5"/>
      <c r="O10" s="5"/>
      <c r="P10" s="5"/>
      <c r="Q10" s="5"/>
      <c r="R10" s="5"/>
      <c r="S10" s="5"/>
      <c r="T10" s="5"/>
      <c r="U10" s="5"/>
      <c r="V10" s="5"/>
      <c r="W10" s="5"/>
      <c r="X10" s="5"/>
      <c r="Y10" s="5"/>
      <c r="Z10" s="5"/>
    </row>
    <row r="11" spans="2:31" s="2" customFormat="1" x14ac:dyDescent="0.3">
      <c r="B11" s="661"/>
      <c r="C11" s="662" t="s">
        <v>542</v>
      </c>
      <c r="D11" s="661">
        <v>3</v>
      </c>
      <c r="E11" s="661">
        <v>0</v>
      </c>
      <c r="F11" s="661">
        <f>+(1.8+0.1+0.1+1.2+0.1+0.1)*2*3.281</f>
        <v>22.310800000000004</v>
      </c>
      <c r="G11" s="661">
        <f>0.2*3.281</f>
        <v>0.65620000000000012</v>
      </c>
      <c r="H11" s="661"/>
      <c r="I11" s="661">
        <f>+PRODUCT(D11:H11)</f>
        <v>0</v>
      </c>
      <c r="J11" s="663"/>
      <c r="K11" s="207"/>
      <c r="L11" s="186"/>
      <c r="M11" s="5"/>
      <c r="N11" s="5"/>
      <c r="O11" s="5"/>
      <c r="P11" s="5"/>
      <c r="Q11" s="5"/>
      <c r="R11" s="5"/>
      <c r="S11" s="5"/>
      <c r="T11" s="5"/>
      <c r="U11" s="5"/>
      <c r="V11" s="5"/>
      <c r="W11" s="5"/>
      <c r="X11" s="5"/>
      <c r="Y11" s="5"/>
      <c r="Z11" s="5"/>
    </row>
    <row r="12" spans="2:31" s="2" customFormat="1" x14ac:dyDescent="0.3">
      <c r="B12" s="661"/>
      <c r="C12" s="662" t="s">
        <v>543</v>
      </c>
      <c r="D12" s="661">
        <v>3</v>
      </c>
      <c r="E12" s="661">
        <v>25</v>
      </c>
      <c r="F12" s="661">
        <f>+(1.8+0.1+0.1+1.2+0.1+0.1)*2*3.281</f>
        <v>22.310800000000004</v>
      </c>
      <c r="G12" s="661">
        <f>0.2*3.281</f>
        <v>0.65620000000000012</v>
      </c>
      <c r="H12" s="661"/>
      <c r="I12" s="661">
        <f>+PRODUCT(D12:H12)</f>
        <v>1098.0260220000005</v>
      </c>
      <c r="J12" s="663"/>
      <c r="K12" s="207"/>
      <c r="L12" s="186"/>
      <c r="M12" s="5"/>
      <c r="N12" s="5"/>
      <c r="O12" s="5"/>
      <c r="P12" s="5"/>
      <c r="Q12" s="5"/>
      <c r="R12" s="5"/>
      <c r="S12" s="5"/>
      <c r="T12" s="5"/>
      <c r="U12" s="5"/>
      <c r="V12" s="5"/>
      <c r="W12" s="5"/>
      <c r="X12" s="5"/>
      <c r="Y12" s="5"/>
      <c r="Z12" s="5"/>
    </row>
    <row r="13" spans="2:31" s="2" customFormat="1" x14ac:dyDescent="0.3">
      <c r="B13" s="661"/>
      <c r="C13" s="662" t="s">
        <v>544</v>
      </c>
      <c r="D13" s="661">
        <v>3</v>
      </c>
      <c r="E13" s="661">
        <f>12+7</f>
        <v>19</v>
      </c>
      <c r="F13" s="661">
        <f>+(1.8+0.1+0.1+1.2+0.1+0.1)*2*3.281</f>
        <v>22.310800000000004</v>
      </c>
      <c r="G13" s="661">
        <f>0.2*3.281</f>
        <v>0.65620000000000012</v>
      </c>
      <c r="H13" s="661"/>
      <c r="I13" s="661">
        <f>+PRODUCT(D13:H13)</f>
        <v>834.49977672000034</v>
      </c>
      <c r="J13" s="663"/>
      <c r="K13" s="207"/>
      <c r="L13" s="186"/>
      <c r="M13" s="5"/>
      <c r="N13" s="5"/>
      <c r="O13" s="5"/>
      <c r="P13" s="5"/>
      <c r="Q13" s="5"/>
      <c r="R13" s="5"/>
      <c r="S13" s="5"/>
      <c r="T13" s="5"/>
      <c r="U13" s="5"/>
      <c r="V13" s="5"/>
      <c r="W13" s="5"/>
      <c r="X13" s="5"/>
      <c r="Y13" s="5"/>
      <c r="Z13" s="5"/>
    </row>
    <row r="14" spans="2:31" s="2" customFormat="1" x14ac:dyDescent="0.3">
      <c r="B14" s="658"/>
      <c r="C14" s="659" t="s">
        <v>540</v>
      </c>
      <c r="D14" s="658"/>
      <c r="E14" s="658"/>
      <c r="F14" s="658"/>
      <c r="G14" s="658"/>
      <c r="H14" s="658"/>
      <c r="I14" s="658"/>
      <c r="J14" s="658"/>
      <c r="K14" s="188"/>
      <c r="M14" s="185"/>
      <c r="N14" s="185"/>
      <c r="O14" s="185"/>
      <c r="P14" s="185"/>
      <c r="Q14" s="185"/>
      <c r="R14" s="185"/>
      <c r="S14" s="185"/>
      <c r="T14" s="185"/>
      <c r="U14" s="185"/>
      <c r="V14" s="185"/>
      <c r="W14" s="185"/>
      <c r="X14" s="185"/>
      <c r="Y14" s="185"/>
      <c r="Z14" s="185"/>
    </row>
    <row r="15" spans="2:31" s="2" customFormat="1" x14ac:dyDescent="0.3">
      <c r="B15" s="658"/>
      <c r="C15" s="664" t="s">
        <v>542</v>
      </c>
      <c r="D15" s="658">
        <v>1</v>
      </c>
      <c r="E15" s="658">
        <v>1</v>
      </c>
      <c r="F15" s="757">
        <f>394.224*10.76</f>
        <v>4241.8502399999998</v>
      </c>
      <c r="G15" s="757"/>
      <c r="H15" s="658"/>
      <c r="I15" s="661">
        <f>+PRODUCT(D15:H15)</f>
        <v>4241.8502399999998</v>
      </c>
      <c r="J15" s="658"/>
      <c r="K15" s="188"/>
      <c r="M15" s="185"/>
      <c r="N15" s="185"/>
      <c r="O15" s="185"/>
      <c r="P15" s="185"/>
      <c r="Q15" s="185"/>
      <c r="R15" s="185"/>
      <c r="S15" s="185"/>
      <c r="T15" s="185"/>
      <c r="U15" s="185"/>
      <c r="V15" s="185"/>
      <c r="W15" s="185"/>
      <c r="X15" s="185"/>
      <c r="Y15" s="185"/>
      <c r="Z15" s="185"/>
    </row>
    <row r="16" spans="2:31" s="2" customFormat="1" x14ac:dyDescent="0.3">
      <c r="B16" s="658"/>
      <c r="C16" s="664" t="s">
        <v>543</v>
      </c>
      <c r="D16" s="658">
        <v>1</v>
      </c>
      <c r="E16" s="658">
        <v>1</v>
      </c>
      <c r="F16" s="757">
        <f>+(33.619+228.525-41.14-41.14)*10.76</f>
        <v>1935.3366400000002</v>
      </c>
      <c r="G16" s="757"/>
      <c r="H16" s="658"/>
      <c r="I16" s="661">
        <f>+PRODUCT(D16:H16)</f>
        <v>1935.3366400000002</v>
      </c>
      <c r="J16" s="658"/>
      <c r="K16" s="188"/>
      <c r="M16" s="185"/>
      <c r="N16" s="185"/>
      <c r="O16" s="185"/>
      <c r="P16" s="185"/>
      <c r="Q16" s="185"/>
      <c r="R16" s="185"/>
      <c r="S16" s="185"/>
      <c r="T16" s="185"/>
      <c r="U16" s="185"/>
      <c r="V16" s="185"/>
      <c r="W16" s="185"/>
      <c r="X16" s="185"/>
      <c r="Y16" s="185"/>
      <c r="Z16" s="185"/>
    </row>
    <row r="17" spans="2:31" s="207" customFormat="1" x14ac:dyDescent="0.3">
      <c r="B17" s="661"/>
      <c r="C17" s="758" t="s">
        <v>545</v>
      </c>
      <c r="D17" s="759"/>
      <c r="E17" s="759"/>
      <c r="F17" s="759"/>
      <c r="G17" s="759"/>
      <c r="H17" s="760"/>
      <c r="I17" s="665">
        <f>SUM(I4:I16)</f>
        <v>8797.8089858399999</v>
      </c>
      <c r="J17" s="665"/>
    </row>
    <row r="18" spans="2:31" s="207" customFormat="1" ht="19.649999999999999" customHeight="1" x14ac:dyDescent="0.3">
      <c r="B18" s="187"/>
      <c r="C18" s="189"/>
      <c r="D18" s="187"/>
      <c r="E18" s="187"/>
      <c r="F18" s="187"/>
      <c r="G18" s="187"/>
      <c r="H18" s="187"/>
      <c r="I18" s="187"/>
      <c r="J18" s="187"/>
      <c r="K18" s="187"/>
      <c r="L18" s="187"/>
      <c r="M18" s="187"/>
      <c r="N18" s="188"/>
    </row>
    <row r="19" spans="2:31" s="207" customFormat="1" ht="19.649999999999999" customHeight="1" x14ac:dyDescent="0.3">
      <c r="B19" s="761" t="s">
        <v>546</v>
      </c>
      <c r="C19" s="762"/>
      <c r="D19" s="762"/>
      <c r="E19" s="763"/>
      <c r="F19" s="1"/>
      <c r="G19" s="1"/>
      <c r="H19" s="1"/>
      <c r="I19" s="138"/>
      <c r="J19" s="3"/>
      <c r="K19" s="3"/>
      <c r="L19" s="3"/>
      <c r="M19" s="3"/>
      <c r="N19" s="1"/>
    </row>
    <row r="20" spans="2:31" s="207" customFormat="1" ht="25.5" customHeight="1" x14ac:dyDescent="0.3">
      <c r="B20" s="666" t="s">
        <v>547</v>
      </c>
      <c r="C20" s="666" t="s">
        <v>1</v>
      </c>
      <c r="D20" s="666" t="s">
        <v>548</v>
      </c>
      <c r="E20" s="666" t="s">
        <v>549</v>
      </c>
      <c r="F20" s="3"/>
      <c r="G20" s="3"/>
      <c r="H20" s="3"/>
      <c r="I20" s="1"/>
    </row>
    <row r="21" spans="2:31" s="207" customFormat="1" ht="19.649999999999999" customHeight="1" x14ac:dyDescent="0.3">
      <c r="B21" s="667">
        <v>1</v>
      </c>
      <c r="C21" s="668" t="s">
        <v>550</v>
      </c>
      <c r="D21" s="667" t="s">
        <v>3</v>
      </c>
      <c r="E21" s="667">
        <f>ROUNDUP(I17/(0.75*0.25),0)</f>
        <v>46922</v>
      </c>
      <c r="F21" s="3"/>
      <c r="G21" s="3">
        <v>0.33333333333333331</v>
      </c>
      <c r="H21" s="3"/>
      <c r="I21" s="1"/>
    </row>
    <row r="22" spans="2:31" s="207" customFormat="1" ht="19.649999999999999" customHeight="1" x14ac:dyDescent="0.3">
      <c r="B22" s="667">
        <v>2</v>
      </c>
      <c r="C22" s="668" t="s">
        <v>551</v>
      </c>
      <c r="D22" s="667" t="s">
        <v>285</v>
      </c>
      <c r="E22" s="667">
        <f>ROUNDUP(I17*0.33,0)</f>
        <v>2904</v>
      </c>
      <c r="F22" s="3"/>
      <c r="G22" s="3"/>
      <c r="H22" s="3"/>
      <c r="I22" s="1"/>
      <c r="K22" s="210"/>
      <c r="L22" s="210"/>
      <c r="M22" s="210"/>
      <c r="N22" s="210"/>
      <c r="O22" s="210"/>
      <c r="P22" s="210"/>
      <c r="Q22" s="210"/>
    </row>
    <row r="23" spans="2:31" s="207" customFormat="1" ht="19.649999999999999" customHeight="1" x14ac:dyDescent="0.3">
      <c r="B23" s="1"/>
      <c r="C23" s="1"/>
      <c r="D23" s="1"/>
      <c r="E23" s="1"/>
      <c r="F23" s="1"/>
      <c r="G23" s="1"/>
      <c r="H23" s="1"/>
      <c r="I23" s="39"/>
      <c r="J23" s="3"/>
      <c r="K23" s="3"/>
      <c r="L23" s="3"/>
      <c r="M23" s="3"/>
      <c r="N23" s="1"/>
    </row>
    <row r="24" spans="2:31" s="207" customFormat="1" ht="19.649999999999999" customHeight="1" x14ac:dyDescent="0.3">
      <c r="B24" s="1"/>
      <c r="C24" s="1"/>
      <c r="D24" s="1"/>
      <c r="E24" s="1"/>
      <c r="F24" s="1"/>
      <c r="G24" s="1"/>
      <c r="H24" s="1"/>
      <c r="I24" s="39"/>
      <c r="J24" s="3"/>
      <c r="K24" s="3"/>
      <c r="L24" s="3"/>
      <c r="M24" s="3"/>
      <c r="N24" s="1"/>
    </row>
    <row r="25" spans="2:31" s="207" customFormat="1" ht="19.649999999999999" customHeight="1" x14ac:dyDescent="0.3">
      <c r="B25" s="1"/>
      <c r="C25" s="1"/>
      <c r="D25" s="1"/>
      <c r="E25" s="1"/>
      <c r="F25" s="1"/>
      <c r="G25" s="1"/>
      <c r="H25" s="1"/>
      <c r="I25" s="39"/>
      <c r="J25" s="3"/>
      <c r="K25" s="3"/>
      <c r="L25" s="3"/>
      <c r="M25" s="3"/>
      <c r="N25" s="1"/>
    </row>
    <row r="26" spans="2:31" s="207" customFormat="1" ht="19.649999999999999" customHeight="1" x14ac:dyDescent="0.3">
      <c r="B26" s="1"/>
      <c r="C26" s="1"/>
      <c r="D26" s="1"/>
      <c r="E26" s="1"/>
      <c r="F26" s="1"/>
      <c r="G26" s="1"/>
      <c r="H26" s="1"/>
      <c r="I26" s="39"/>
      <c r="J26" s="3"/>
      <c r="K26" s="3"/>
      <c r="L26" s="3"/>
      <c r="M26" s="3"/>
      <c r="N26" s="1"/>
    </row>
    <row r="27" spans="2:31" s="207" customFormat="1" ht="19.649999999999999" customHeight="1" x14ac:dyDescent="0.3">
      <c r="B27" s="1"/>
      <c r="C27" s="1"/>
      <c r="D27" s="1"/>
      <c r="E27" s="1"/>
      <c r="F27" s="1"/>
      <c r="G27" s="1"/>
      <c r="H27" s="1"/>
      <c r="I27" s="39"/>
      <c r="J27" s="3"/>
      <c r="K27" s="3"/>
      <c r="L27" s="3"/>
      <c r="M27" s="3"/>
      <c r="N27" s="1"/>
    </row>
    <row r="28" spans="2:31" s="207" customFormat="1" ht="19.649999999999999" customHeight="1" x14ac:dyDescent="0.3">
      <c r="B28" s="1"/>
      <c r="C28" s="1"/>
      <c r="D28" s="1"/>
      <c r="E28" s="1"/>
      <c r="F28" s="1"/>
      <c r="G28" s="1"/>
      <c r="H28" s="1"/>
      <c r="I28" s="39"/>
      <c r="J28" s="3"/>
      <c r="K28" s="3"/>
      <c r="L28" s="3"/>
      <c r="M28" s="3"/>
      <c r="N28" s="1"/>
      <c r="P28" s="210"/>
      <c r="Q28" s="210"/>
      <c r="R28" s="210"/>
      <c r="S28" s="210"/>
      <c r="T28" s="210"/>
      <c r="U28" s="210"/>
      <c r="V28" s="210"/>
    </row>
    <row r="29" spans="2:31" s="202" customFormat="1" ht="19.649999999999999" customHeight="1" x14ac:dyDescent="0.3">
      <c r="B29" s="1"/>
      <c r="C29" s="1"/>
      <c r="D29" s="1"/>
      <c r="E29" s="1"/>
      <c r="F29" s="1"/>
      <c r="G29" s="1"/>
      <c r="H29" s="1"/>
      <c r="I29" s="39"/>
      <c r="J29" s="3"/>
      <c r="K29" s="3"/>
      <c r="L29" s="3"/>
      <c r="M29" s="3"/>
      <c r="N29" s="1"/>
      <c r="P29" s="210"/>
      <c r="Q29" s="210"/>
      <c r="R29" s="210"/>
      <c r="S29" s="210"/>
      <c r="T29" s="210"/>
      <c r="U29" s="210"/>
      <c r="V29" s="210"/>
      <c r="W29" s="207"/>
      <c r="X29" s="207"/>
      <c r="Y29" s="207"/>
      <c r="Z29" s="207"/>
      <c r="AA29" s="207"/>
      <c r="AB29" s="207"/>
      <c r="AC29" s="207"/>
      <c r="AD29" s="207"/>
      <c r="AE29" s="207"/>
    </row>
    <row r="30" spans="2:31" s="202" customFormat="1" ht="19.649999999999999" customHeight="1" x14ac:dyDescent="0.3">
      <c r="B30" s="1"/>
      <c r="C30" s="1"/>
      <c r="D30" s="1"/>
      <c r="E30" s="1"/>
      <c r="F30" s="1"/>
      <c r="G30" s="1"/>
      <c r="H30" s="1"/>
      <c r="I30" s="39"/>
      <c r="J30" s="3"/>
      <c r="K30" s="3"/>
      <c r="L30" s="3"/>
      <c r="M30" s="3"/>
      <c r="N30" s="1"/>
      <c r="P30" s="210"/>
      <c r="Q30" s="210"/>
      <c r="R30" s="210"/>
      <c r="S30" s="210"/>
      <c r="T30" s="210"/>
      <c r="U30" s="210"/>
      <c r="V30" s="210"/>
      <c r="W30" s="207"/>
      <c r="X30" s="207"/>
      <c r="Y30" s="207"/>
      <c r="Z30" s="207"/>
      <c r="AA30" s="207"/>
      <c r="AB30" s="207"/>
      <c r="AC30" s="207"/>
      <c r="AD30" s="207"/>
      <c r="AE30" s="207"/>
    </row>
    <row r="31" spans="2:31" s="188" customFormat="1" ht="19.649999999999999" customHeight="1" x14ac:dyDescent="0.3">
      <c r="B31" s="1"/>
      <c r="C31" s="1"/>
      <c r="D31" s="1"/>
      <c r="E31" s="1"/>
      <c r="F31" s="1"/>
      <c r="G31" s="1"/>
      <c r="H31" s="1"/>
      <c r="I31" s="39"/>
      <c r="J31" s="3"/>
      <c r="K31" s="3"/>
      <c r="L31" s="3"/>
      <c r="M31" s="3"/>
      <c r="N31" s="1"/>
      <c r="P31" s="220"/>
      <c r="Q31" s="220"/>
      <c r="R31" s="220"/>
      <c r="S31" s="220"/>
      <c r="T31" s="220"/>
      <c r="U31" s="220"/>
      <c r="V31" s="220"/>
      <c r="W31" s="210"/>
      <c r="X31" s="210"/>
      <c r="Y31" s="210"/>
      <c r="Z31" s="210"/>
      <c r="AA31" s="210"/>
      <c r="AB31" s="210"/>
      <c r="AC31" s="210"/>
      <c r="AD31" s="210"/>
      <c r="AE31" s="210"/>
    </row>
    <row r="32" spans="2:31" s="188" customFormat="1" ht="19.649999999999999" customHeight="1" x14ac:dyDescent="0.3">
      <c r="B32" s="1"/>
      <c r="C32" s="1"/>
      <c r="D32" s="1"/>
      <c r="E32" s="1"/>
      <c r="F32" s="1"/>
      <c r="G32" s="1"/>
      <c r="H32" s="1"/>
      <c r="I32" s="39"/>
      <c r="J32" s="3"/>
      <c r="K32" s="3"/>
      <c r="L32" s="3"/>
      <c r="M32" s="3"/>
      <c r="N32" s="1"/>
      <c r="P32" s="220"/>
      <c r="Q32" s="220"/>
      <c r="R32" s="220"/>
      <c r="S32" s="220"/>
      <c r="T32" s="220"/>
      <c r="U32" s="220"/>
      <c r="V32" s="220"/>
      <c r="W32" s="210"/>
      <c r="X32" s="210"/>
      <c r="Y32" s="210"/>
      <c r="Z32" s="210"/>
      <c r="AA32" s="210"/>
      <c r="AB32" s="210"/>
      <c r="AC32" s="210"/>
      <c r="AD32" s="210"/>
      <c r="AE32" s="210"/>
    </row>
    <row r="33" spans="2:31" s="188" customFormat="1" ht="19.649999999999999" customHeight="1" x14ac:dyDescent="0.3">
      <c r="B33" s="1"/>
      <c r="C33" s="1"/>
      <c r="D33" s="1"/>
      <c r="E33" s="1"/>
      <c r="F33" s="1"/>
      <c r="G33" s="1"/>
      <c r="H33" s="1"/>
      <c r="I33" s="39"/>
      <c r="J33" s="3"/>
      <c r="K33" s="3"/>
      <c r="L33" s="3"/>
      <c r="M33" s="3"/>
      <c r="N33" s="1"/>
      <c r="P33" s="220"/>
      <c r="Q33" s="220"/>
      <c r="R33" s="220"/>
      <c r="S33" s="220"/>
      <c r="T33" s="220"/>
      <c r="U33" s="220"/>
      <c r="V33" s="220"/>
      <c r="W33" s="210"/>
      <c r="X33" s="210"/>
      <c r="Y33" s="210"/>
      <c r="Z33" s="210"/>
      <c r="AA33" s="210"/>
      <c r="AB33" s="210"/>
      <c r="AC33" s="210"/>
      <c r="AD33" s="210"/>
      <c r="AE33" s="210"/>
    </row>
    <row r="34" spans="2:31" s="187" customFormat="1" ht="19.649999999999999" customHeight="1" x14ac:dyDescent="0.3">
      <c r="B34" s="1"/>
      <c r="C34" s="1"/>
      <c r="D34" s="1"/>
      <c r="E34" s="1"/>
      <c r="F34" s="1"/>
      <c r="G34" s="1"/>
      <c r="H34" s="1"/>
      <c r="I34" s="39"/>
      <c r="J34" s="3"/>
      <c r="K34" s="3"/>
      <c r="L34" s="3"/>
      <c r="M34" s="3"/>
      <c r="N34" s="1"/>
      <c r="P34" s="220"/>
      <c r="Q34" s="220"/>
      <c r="R34" s="220"/>
      <c r="S34" s="220"/>
      <c r="T34" s="220"/>
      <c r="U34" s="220"/>
      <c r="V34" s="220"/>
      <c r="W34" s="220"/>
      <c r="X34" s="220"/>
      <c r="Y34" s="220"/>
      <c r="Z34" s="220"/>
      <c r="AA34" s="220"/>
      <c r="AB34" s="220"/>
      <c r="AC34" s="220"/>
      <c r="AD34" s="220"/>
      <c r="AE34" s="220"/>
    </row>
    <row r="35" spans="2:31" s="187" customFormat="1" ht="19.649999999999999" customHeight="1" x14ac:dyDescent="0.3">
      <c r="B35" s="1"/>
      <c r="C35" s="1"/>
      <c r="D35" s="1"/>
      <c r="E35" s="1"/>
      <c r="F35" s="1"/>
      <c r="G35" s="1"/>
      <c r="H35" s="1"/>
      <c r="I35" s="39"/>
      <c r="J35" s="3"/>
      <c r="K35" s="3"/>
      <c r="L35" s="3"/>
      <c r="M35" s="3"/>
      <c r="N35" s="1"/>
      <c r="P35" s="220"/>
      <c r="Q35" s="220"/>
      <c r="R35" s="220"/>
      <c r="S35" s="220"/>
      <c r="T35" s="220"/>
      <c r="U35" s="220"/>
      <c r="V35" s="220"/>
      <c r="W35" s="220"/>
      <c r="X35" s="220"/>
      <c r="Y35" s="220"/>
      <c r="Z35" s="220"/>
      <c r="AA35" s="220"/>
      <c r="AB35" s="220"/>
      <c r="AC35" s="220"/>
      <c r="AD35" s="220"/>
      <c r="AE35" s="220"/>
    </row>
    <row r="36" spans="2:31" s="187" customFormat="1" ht="19.649999999999999" customHeight="1" x14ac:dyDescent="0.3">
      <c r="B36" s="1"/>
      <c r="C36" s="1"/>
      <c r="D36" s="1"/>
      <c r="E36" s="1"/>
      <c r="F36" s="1"/>
      <c r="G36" s="1"/>
      <c r="H36" s="1"/>
      <c r="I36" s="39"/>
      <c r="J36" s="3"/>
      <c r="K36" s="3"/>
      <c r="L36" s="3"/>
      <c r="M36" s="3"/>
      <c r="N36" s="1"/>
      <c r="P36" s="220"/>
      <c r="Q36" s="220"/>
      <c r="R36" s="220"/>
      <c r="S36" s="220"/>
      <c r="T36" s="220"/>
      <c r="U36" s="220"/>
      <c r="V36" s="220"/>
      <c r="W36" s="220"/>
      <c r="X36" s="220"/>
      <c r="Y36" s="220"/>
      <c r="Z36" s="220"/>
      <c r="AA36" s="220"/>
      <c r="AB36" s="220"/>
      <c r="AC36" s="220"/>
      <c r="AD36" s="220"/>
      <c r="AE36" s="220"/>
    </row>
    <row r="37" spans="2:31" s="187" customFormat="1" ht="19.649999999999999" customHeight="1" x14ac:dyDescent="0.3">
      <c r="B37" s="1"/>
      <c r="C37" s="1"/>
      <c r="D37" s="1"/>
      <c r="E37" s="1"/>
      <c r="F37" s="1"/>
      <c r="G37" s="1"/>
      <c r="H37" s="1"/>
      <c r="I37" s="138"/>
      <c r="J37" s="3"/>
      <c r="K37" s="3"/>
      <c r="L37" s="3"/>
      <c r="M37" s="3"/>
      <c r="N37" s="1"/>
      <c r="P37" s="220"/>
      <c r="Q37" s="220"/>
      <c r="R37" s="220"/>
      <c r="S37" s="220"/>
      <c r="T37" s="220"/>
      <c r="U37" s="220"/>
      <c r="V37" s="220"/>
      <c r="W37" s="220"/>
      <c r="X37" s="220"/>
      <c r="Y37" s="220"/>
      <c r="Z37" s="220"/>
      <c r="AA37" s="220"/>
      <c r="AB37" s="220"/>
      <c r="AC37" s="220"/>
      <c r="AD37" s="220"/>
      <c r="AE37" s="220"/>
    </row>
    <row r="38" spans="2:31" s="187" customFormat="1" ht="19.649999999999999" customHeight="1" x14ac:dyDescent="0.3">
      <c r="B38" s="1"/>
      <c r="C38" s="1"/>
      <c r="D38" s="1"/>
      <c r="E38" s="1"/>
      <c r="F38" s="1"/>
      <c r="G38" s="1"/>
      <c r="H38" s="1"/>
      <c r="I38" s="138"/>
      <c r="J38" s="3"/>
      <c r="K38" s="3"/>
      <c r="L38" s="3"/>
      <c r="M38" s="3"/>
      <c r="N38" s="1"/>
      <c r="P38" s="220"/>
      <c r="Q38" s="220"/>
      <c r="R38" s="220"/>
      <c r="S38" s="220"/>
      <c r="T38" s="220"/>
      <c r="U38" s="220"/>
      <c r="V38" s="220"/>
      <c r="W38" s="220"/>
      <c r="X38" s="220"/>
      <c r="Y38" s="220"/>
      <c r="Z38" s="220"/>
      <c r="AA38" s="220"/>
      <c r="AB38" s="220"/>
      <c r="AC38" s="220"/>
      <c r="AD38" s="220"/>
      <c r="AE38" s="220"/>
    </row>
    <row r="39" spans="2:31" s="187" customFormat="1" ht="19.649999999999999" customHeight="1" x14ac:dyDescent="0.3">
      <c r="B39" s="1"/>
      <c r="C39" s="1"/>
      <c r="D39" s="1"/>
      <c r="E39" s="1"/>
      <c r="F39" s="1"/>
      <c r="G39" s="1"/>
      <c r="H39" s="1"/>
      <c r="I39" s="138"/>
      <c r="J39" s="3"/>
      <c r="K39" s="3"/>
      <c r="L39" s="3"/>
      <c r="M39" s="3"/>
      <c r="N39" s="1"/>
      <c r="P39" s="3"/>
      <c r="Q39" s="3"/>
      <c r="R39" s="3"/>
      <c r="S39" s="3"/>
      <c r="T39" s="3"/>
      <c r="U39" s="3"/>
      <c r="V39" s="3"/>
      <c r="W39" s="220"/>
      <c r="X39" s="220"/>
      <c r="Y39" s="220"/>
      <c r="Z39" s="220"/>
      <c r="AA39" s="220"/>
      <c r="AB39" s="220"/>
      <c r="AC39" s="220"/>
      <c r="AD39" s="220"/>
      <c r="AE39" s="220"/>
    </row>
    <row r="40" spans="2:31" s="187" customFormat="1" ht="19.649999999999999" customHeight="1" x14ac:dyDescent="0.3">
      <c r="B40" s="1"/>
      <c r="C40" s="1"/>
      <c r="D40" s="1"/>
      <c r="E40" s="1"/>
      <c r="F40" s="1"/>
      <c r="G40" s="1"/>
      <c r="H40" s="1"/>
      <c r="I40" s="138"/>
      <c r="J40" s="3"/>
      <c r="K40" s="3"/>
      <c r="L40" s="3"/>
      <c r="M40" s="3"/>
      <c r="N40" s="1"/>
      <c r="P40" s="3"/>
      <c r="Q40" s="3"/>
      <c r="R40" s="3"/>
      <c r="S40" s="3"/>
      <c r="T40" s="3"/>
      <c r="U40" s="3"/>
      <c r="V40" s="3"/>
      <c r="W40" s="220"/>
      <c r="X40" s="220"/>
      <c r="Y40" s="220"/>
      <c r="Z40" s="220"/>
      <c r="AA40" s="220"/>
      <c r="AB40" s="220"/>
      <c r="AC40" s="220"/>
      <c r="AD40" s="220"/>
      <c r="AE40" s="220"/>
    </row>
    <row r="41" spans="2:31" s="187" customFormat="1" ht="19.649999999999999" customHeight="1" x14ac:dyDescent="0.3">
      <c r="B41" s="1"/>
      <c r="C41" s="1"/>
      <c r="D41" s="1"/>
      <c r="E41" s="1"/>
      <c r="F41" s="1"/>
      <c r="G41" s="1"/>
      <c r="H41" s="1"/>
      <c r="I41" s="39"/>
      <c r="J41" s="3"/>
      <c r="K41" s="3"/>
      <c r="L41" s="3"/>
      <c r="M41" s="3"/>
      <c r="N41" s="1"/>
      <c r="P41" s="3"/>
      <c r="Q41" s="3"/>
      <c r="R41" s="3"/>
      <c r="S41" s="3"/>
      <c r="T41" s="3"/>
      <c r="U41" s="3"/>
      <c r="V41" s="3"/>
      <c r="W41" s="220"/>
      <c r="X41" s="220"/>
      <c r="Y41" s="220"/>
      <c r="Z41" s="220"/>
      <c r="AA41" s="220"/>
      <c r="AB41" s="220"/>
      <c r="AC41" s="220"/>
      <c r="AD41" s="220"/>
      <c r="AE41" s="220"/>
    </row>
    <row r="125" spans="1:33" s="3" customFormat="1" x14ac:dyDescent="0.3">
      <c r="A125" s="1"/>
      <c r="B125" s="1"/>
      <c r="C125" s="1"/>
      <c r="D125" s="1"/>
      <c r="E125" s="1"/>
      <c r="F125" s="1"/>
      <c r="G125" s="1"/>
      <c r="H125" s="1"/>
      <c r="I125" s="138"/>
      <c r="N125" s="1"/>
      <c r="O125" s="1"/>
      <c r="AF125" s="1"/>
      <c r="AG125" s="1"/>
    </row>
  </sheetData>
  <mergeCells count="5">
    <mergeCell ref="B1:J1"/>
    <mergeCell ref="F15:G15"/>
    <mergeCell ref="F16:G16"/>
    <mergeCell ref="C17:H17"/>
    <mergeCell ref="B19:E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9"/>
  <sheetViews>
    <sheetView workbookViewId="0">
      <selection activeCell="L13" sqref="L13"/>
    </sheetView>
  </sheetViews>
  <sheetFormatPr defaultRowHeight="14.4" x14ac:dyDescent="0.3"/>
  <cols>
    <col min="1" max="1" width="4.6640625" customWidth="1"/>
    <col min="2" max="2" width="30.6640625" style="288" bestFit="1" customWidth="1"/>
    <col min="3" max="3" width="11.5546875" customWidth="1"/>
    <col min="4" max="4" width="7.88671875" bestFit="1" customWidth="1"/>
    <col min="5" max="5" width="8.109375" bestFit="1" customWidth="1"/>
    <col min="6" max="6" width="5.109375" bestFit="1" customWidth="1"/>
    <col min="7" max="7" width="8" bestFit="1" customWidth="1"/>
    <col min="8" max="8" width="13.33203125" customWidth="1"/>
    <col min="9" max="9" width="7.5546875" bestFit="1" customWidth="1"/>
    <col min="10" max="10" width="16.88671875" customWidth="1"/>
    <col min="11" max="11" width="3.5546875" customWidth="1"/>
    <col min="12" max="12" width="21.33203125" customWidth="1"/>
    <col min="13" max="13" width="14.33203125" hidden="1" customWidth="1"/>
    <col min="14" max="14" width="14.5546875" hidden="1" customWidth="1"/>
    <col min="15" max="15" width="5.6640625" customWidth="1"/>
    <col min="17" max="17" width="5.6640625" customWidth="1"/>
    <col min="18" max="18" width="12.5546875" bestFit="1" customWidth="1"/>
    <col min="19" max="19" width="10" customWidth="1"/>
    <col min="20" max="20" width="11.5546875" bestFit="1" customWidth="1"/>
    <col min="21" max="21" width="5" bestFit="1" customWidth="1"/>
    <col min="22" max="22" width="12.5546875" bestFit="1" customWidth="1"/>
    <col min="23" max="25" width="12.5546875" customWidth="1"/>
    <col min="26" max="26" width="14.33203125" bestFit="1" customWidth="1"/>
    <col min="31" max="31" width="12.5546875" bestFit="1" customWidth="1"/>
  </cols>
  <sheetData>
    <row r="1" spans="1:31" s="188" customFormat="1" ht="20.100000000000001" customHeight="1" x14ac:dyDescent="0.3">
      <c r="A1" s="764" t="s">
        <v>440</v>
      </c>
      <c r="B1" s="765"/>
      <c r="C1" s="765"/>
      <c r="D1" s="765"/>
      <c r="E1" s="765"/>
      <c r="F1" s="765"/>
      <c r="G1" s="765"/>
      <c r="H1" s="765"/>
      <c r="I1" s="765"/>
      <c r="J1" s="766"/>
      <c r="K1" s="479"/>
      <c r="L1" s="479"/>
    </row>
    <row r="2" spans="1:31" s="188" customFormat="1" ht="20.100000000000001" customHeight="1" x14ac:dyDescent="0.3">
      <c r="A2" s="764" t="s">
        <v>441</v>
      </c>
      <c r="B2" s="765"/>
      <c r="C2" s="765"/>
      <c r="D2" s="765"/>
      <c r="E2" s="765"/>
      <c r="F2" s="765"/>
      <c r="G2" s="765"/>
      <c r="H2" s="765"/>
      <c r="I2" s="765"/>
      <c r="J2" s="766"/>
      <c r="K2" s="479"/>
      <c r="L2" s="479"/>
    </row>
    <row r="3" spans="1:31" s="188" customFormat="1" ht="20.100000000000001" customHeight="1" x14ac:dyDescent="0.3">
      <c r="A3" s="764" t="s">
        <v>442</v>
      </c>
      <c r="B3" s="765"/>
      <c r="C3" s="765"/>
      <c r="D3" s="765"/>
      <c r="E3" s="765"/>
      <c r="F3" s="765"/>
      <c r="G3" s="765"/>
      <c r="H3" s="765"/>
      <c r="I3" s="765"/>
      <c r="J3" s="766"/>
      <c r="K3" s="479"/>
      <c r="L3" s="479"/>
      <c r="R3" s="188">
        <v>140</v>
      </c>
      <c r="W3" s="480"/>
    </row>
    <row r="4" spans="1:31" s="188" customFormat="1" ht="38.25" customHeight="1" x14ac:dyDescent="0.3">
      <c r="A4" s="481" t="s">
        <v>39</v>
      </c>
      <c r="B4" s="481" t="s">
        <v>1</v>
      </c>
      <c r="C4" s="482" t="s">
        <v>202</v>
      </c>
      <c r="D4" s="483" t="s">
        <v>203</v>
      </c>
      <c r="E4" s="483" t="s">
        <v>443</v>
      </c>
      <c r="F4" s="484" t="s">
        <v>204</v>
      </c>
      <c r="G4" s="484" t="s">
        <v>205</v>
      </c>
      <c r="H4" s="483" t="s">
        <v>444</v>
      </c>
      <c r="I4" s="483" t="s">
        <v>206</v>
      </c>
      <c r="J4" s="482" t="s">
        <v>207</v>
      </c>
      <c r="K4" s="479"/>
      <c r="L4" s="482" t="s">
        <v>208</v>
      </c>
      <c r="M4" s="485" t="s">
        <v>164</v>
      </c>
      <c r="N4" s="485" t="s">
        <v>165</v>
      </c>
      <c r="O4" s="486"/>
      <c r="P4" s="187"/>
    </row>
    <row r="5" spans="1:31" s="188" customFormat="1" ht="20.100000000000001" customHeight="1" x14ac:dyDescent="0.3">
      <c r="A5" s="487">
        <v>1</v>
      </c>
      <c r="B5" s="488" t="s">
        <v>445</v>
      </c>
      <c r="C5" s="489">
        <v>44234.05</v>
      </c>
      <c r="D5" s="490"/>
      <c r="E5" s="490"/>
      <c r="F5" s="491"/>
      <c r="G5" s="491"/>
      <c r="H5" s="490"/>
      <c r="I5" s="490"/>
      <c r="J5" s="492">
        <f>C5-(D5*0.5)-E5-F5-G5-H5-(I5*0.5)</f>
        <v>44234.05</v>
      </c>
      <c r="K5" s="493"/>
      <c r="L5" s="494">
        <f>ROUNDUP(J5,0)</f>
        <v>44235</v>
      </c>
      <c r="M5" s="495" t="s">
        <v>446</v>
      </c>
      <c r="N5" s="496">
        <f>+'[8]Comparision Foundation'!BE45</f>
        <v>6679728.7661633426</v>
      </c>
      <c r="O5" s="486"/>
      <c r="P5" s="187"/>
    </row>
    <row r="6" spans="1:31" s="188" customFormat="1" ht="20.100000000000001" customHeight="1" x14ac:dyDescent="0.3">
      <c r="A6" s="497"/>
      <c r="B6" s="498"/>
      <c r="C6" s="489"/>
      <c r="D6" s="499"/>
      <c r="E6" s="499"/>
      <c r="F6" s="500"/>
      <c r="G6" s="499"/>
      <c r="H6" s="499"/>
      <c r="I6" s="499"/>
      <c r="J6" s="492"/>
      <c r="K6" s="479"/>
      <c r="L6" s="494"/>
      <c r="M6" s="495"/>
      <c r="N6" s="485"/>
      <c r="O6" s="486"/>
      <c r="P6" s="187"/>
    </row>
    <row r="7" spans="1:31" s="188" customFormat="1" ht="20.100000000000001" customHeight="1" x14ac:dyDescent="0.3">
      <c r="A7" s="497">
        <v>2</v>
      </c>
      <c r="B7" s="501" t="s">
        <v>447</v>
      </c>
      <c r="C7" s="489">
        <v>40041.409</v>
      </c>
      <c r="D7" s="499"/>
      <c r="E7" s="499"/>
      <c r="F7" s="500">
        <v>0</v>
      </c>
      <c r="G7" s="500">
        <f>233.95+109</f>
        <v>342.95</v>
      </c>
      <c r="H7" s="500"/>
      <c r="I7" s="499"/>
      <c r="J7" s="492">
        <f t="shared" ref="J7:J12" si="0">C7-(D7*0.5)-E7-F7-G7-H7-(I7*0.5)</f>
        <v>39698.459000000003</v>
      </c>
      <c r="K7" s="479"/>
      <c r="L7" s="494">
        <f t="shared" ref="L7:L12" si="1">ROUNDUP(J7,0)</f>
        <v>39699</v>
      </c>
      <c r="M7" s="495">
        <v>100</v>
      </c>
      <c r="N7" s="496">
        <f t="shared" ref="N7:N12" si="2">+M7*L7</f>
        <v>3969900</v>
      </c>
      <c r="O7" s="486"/>
      <c r="P7" s="187"/>
      <c r="V7" s="188">
        <f>+L7*90</f>
        <v>3572910</v>
      </c>
      <c r="AA7" s="480"/>
      <c r="AB7" s="480"/>
    </row>
    <row r="8" spans="1:31" s="188" customFormat="1" ht="20.100000000000001" customHeight="1" x14ac:dyDescent="0.3">
      <c r="A8" s="497">
        <f t="shared" ref="A8:A12" si="3">+A7+1</f>
        <v>3</v>
      </c>
      <c r="B8" s="501" t="s">
        <v>448</v>
      </c>
      <c r="C8" s="489">
        <v>40041.409</v>
      </c>
      <c r="D8" s="499"/>
      <c r="E8" s="499"/>
      <c r="F8" s="500">
        <v>0</v>
      </c>
      <c r="G8" s="500">
        <f>253.832+109</f>
        <v>362.83199999999999</v>
      </c>
      <c r="H8" s="500">
        <v>1190.3900000000001</v>
      </c>
      <c r="I8" s="499"/>
      <c r="J8" s="492">
        <f t="shared" si="0"/>
        <v>38488.186999999998</v>
      </c>
      <c r="K8" s="479"/>
      <c r="L8" s="494">
        <f t="shared" si="1"/>
        <v>38489</v>
      </c>
      <c r="M8" s="495">
        <v>250</v>
      </c>
      <c r="N8" s="496">
        <f t="shared" si="2"/>
        <v>9622250</v>
      </c>
      <c r="O8" s="486"/>
      <c r="P8" s="187">
        <f t="shared" ref="P8:P12" si="4">+L8*2</f>
        <v>76978</v>
      </c>
      <c r="Q8" s="188">
        <v>117</v>
      </c>
      <c r="R8" s="188">
        <f t="shared" ref="R8:R12" si="5">+P8*Q8</f>
        <v>9006426</v>
      </c>
      <c r="S8" s="480">
        <f>+R8/L8</f>
        <v>234</v>
      </c>
      <c r="T8" s="188">
        <f>+L8*3.5</f>
        <v>134711.5</v>
      </c>
      <c r="U8" s="188">
        <v>12</v>
      </c>
      <c r="V8" s="188">
        <f t="shared" ref="V8:V12" si="6">+U8*T8</f>
        <v>1616538</v>
      </c>
      <c r="W8" s="480">
        <f>+L8*0.03*0.4*1700</f>
        <v>785175.59999999986</v>
      </c>
      <c r="X8" s="480">
        <f>+L8*0.03*0.6*550</f>
        <v>381041.1</v>
      </c>
      <c r="Y8" s="480">
        <f>12*5*1500</f>
        <v>90000</v>
      </c>
      <c r="Z8" s="480">
        <f>+V8+R8+W8+X8+Y8</f>
        <v>11879180.699999999</v>
      </c>
      <c r="AA8" s="480"/>
      <c r="AB8" s="480">
        <f>+Z8/L8</f>
        <v>308.63833043207148</v>
      </c>
    </row>
    <row r="9" spans="1:31" s="188" customFormat="1" ht="20.100000000000001" customHeight="1" x14ac:dyDescent="0.3">
      <c r="A9" s="497">
        <f t="shared" si="3"/>
        <v>4</v>
      </c>
      <c r="B9" s="501" t="s">
        <v>449</v>
      </c>
      <c r="C9" s="489">
        <v>40041.409</v>
      </c>
      <c r="D9" s="499"/>
      <c r="E9" s="499"/>
      <c r="F9" s="500">
        <v>0</v>
      </c>
      <c r="G9" s="500">
        <f>253.832+109</f>
        <v>362.83199999999999</v>
      </c>
      <c r="H9" s="500"/>
      <c r="I9" s="499"/>
      <c r="J9" s="492">
        <f t="shared" si="0"/>
        <v>39678.576999999997</v>
      </c>
      <c r="K9" s="479"/>
      <c r="L9" s="494">
        <f t="shared" si="1"/>
        <v>39679</v>
      </c>
      <c r="M9" s="495">
        <v>250</v>
      </c>
      <c r="N9" s="496">
        <f t="shared" si="2"/>
        <v>9919750</v>
      </c>
      <c r="O9" s="486"/>
      <c r="P9" s="187">
        <f t="shared" si="4"/>
        <v>79358</v>
      </c>
      <c r="Q9" s="188">
        <v>117</v>
      </c>
      <c r="R9" s="188">
        <f t="shared" si="5"/>
        <v>9284886</v>
      </c>
      <c r="S9" s="480">
        <f t="shared" ref="S9:S12" si="7">+R9/L9</f>
        <v>234</v>
      </c>
      <c r="T9" s="188">
        <f>+L9*3.5</f>
        <v>138876.5</v>
      </c>
      <c r="U9" s="188">
        <v>12</v>
      </c>
      <c r="V9" s="188">
        <f t="shared" si="6"/>
        <v>1666518</v>
      </c>
      <c r="Z9" s="480">
        <f t="shared" ref="Z9:Z12" si="8">+V9/L9</f>
        <v>42</v>
      </c>
      <c r="AA9" s="480"/>
      <c r="AB9" s="480">
        <f t="shared" ref="AB9:AB12" si="9">+Z9+S9</f>
        <v>276</v>
      </c>
    </row>
    <row r="10" spans="1:31" s="188" customFormat="1" ht="20.100000000000001" customHeight="1" x14ac:dyDescent="0.3">
      <c r="A10" s="497">
        <f t="shared" si="3"/>
        <v>5</v>
      </c>
      <c r="B10" s="501" t="s">
        <v>450</v>
      </c>
      <c r="C10" s="489">
        <v>40041.409</v>
      </c>
      <c r="D10" s="499"/>
      <c r="E10" s="499"/>
      <c r="F10" s="500">
        <v>0</v>
      </c>
      <c r="G10" s="500">
        <f>253.832+109</f>
        <v>362.83199999999999</v>
      </c>
      <c r="H10" s="500"/>
      <c r="I10" s="499"/>
      <c r="J10" s="492">
        <f t="shared" si="0"/>
        <v>39678.576999999997</v>
      </c>
      <c r="K10" s="479"/>
      <c r="L10" s="494">
        <f t="shared" si="1"/>
        <v>39679</v>
      </c>
      <c r="M10" s="495">
        <v>250</v>
      </c>
      <c r="N10" s="496">
        <f t="shared" si="2"/>
        <v>9919750</v>
      </c>
      <c r="O10" s="486"/>
      <c r="P10" s="187">
        <f t="shared" si="4"/>
        <v>79358</v>
      </c>
      <c r="Q10" s="188">
        <v>117</v>
      </c>
      <c r="R10" s="188">
        <f t="shared" si="5"/>
        <v>9284886</v>
      </c>
      <c r="S10" s="480">
        <f t="shared" si="7"/>
        <v>234</v>
      </c>
      <c r="T10" s="188">
        <f t="shared" ref="T10:T12" si="10">+L10*3.5</f>
        <v>138876.5</v>
      </c>
      <c r="U10" s="188">
        <v>12</v>
      </c>
      <c r="V10" s="188">
        <f t="shared" si="6"/>
        <v>1666518</v>
      </c>
      <c r="Z10" s="480">
        <f t="shared" si="8"/>
        <v>42</v>
      </c>
      <c r="AA10" s="480"/>
      <c r="AB10" s="480">
        <f t="shared" si="9"/>
        <v>276</v>
      </c>
    </row>
    <row r="11" spans="1:31" s="188" customFormat="1" ht="20.100000000000001" customHeight="1" x14ac:dyDescent="0.3">
      <c r="A11" s="497">
        <f t="shared" si="3"/>
        <v>6</v>
      </c>
      <c r="B11" s="501" t="s">
        <v>92</v>
      </c>
      <c r="C11" s="502">
        <v>1928.9955371492599</v>
      </c>
      <c r="D11" s="499"/>
      <c r="E11" s="499"/>
      <c r="F11" s="500"/>
      <c r="G11" s="500"/>
      <c r="H11" s="499"/>
      <c r="I11" s="499"/>
      <c r="J11" s="492">
        <f t="shared" si="0"/>
        <v>1928.9955371492599</v>
      </c>
      <c r="K11" s="479"/>
      <c r="L11" s="494">
        <f t="shared" si="1"/>
        <v>1929</v>
      </c>
      <c r="M11" s="495">
        <v>250</v>
      </c>
      <c r="N11" s="496">
        <f t="shared" si="2"/>
        <v>482250</v>
      </c>
      <c r="O11" s="486"/>
      <c r="P11" s="187">
        <f t="shared" si="4"/>
        <v>3858</v>
      </c>
      <c r="Q11" s="188">
        <v>117</v>
      </c>
      <c r="R11" s="188">
        <f t="shared" si="5"/>
        <v>451386</v>
      </c>
      <c r="S11" s="480">
        <f t="shared" si="7"/>
        <v>234</v>
      </c>
      <c r="T11" s="188">
        <f t="shared" si="10"/>
        <v>6751.5</v>
      </c>
      <c r="U11" s="188">
        <v>12</v>
      </c>
      <c r="V11" s="188">
        <f t="shared" si="6"/>
        <v>81018</v>
      </c>
      <c r="Z11" s="480">
        <f t="shared" si="8"/>
        <v>42</v>
      </c>
      <c r="AA11" s="480"/>
      <c r="AB11" s="480">
        <f t="shared" si="9"/>
        <v>276</v>
      </c>
    </row>
    <row r="12" spans="1:31" s="188" customFormat="1" ht="20.100000000000001" customHeight="1" x14ac:dyDescent="0.3">
      <c r="A12" s="497">
        <f t="shared" si="3"/>
        <v>7</v>
      </c>
      <c r="B12" s="503" t="s">
        <v>451</v>
      </c>
      <c r="C12" s="502">
        <v>606.68251544999998</v>
      </c>
      <c r="D12" s="499"/>
      <c r="E12" s="499"/>
      <c r="F12" s="500"/>
      <c r="G12" s="500"/>
      <c r="H12" s="499"/>
      <c r="I12" s="499"/>
      <c r="J12" s="492">
        <f t="shared" si="0"/>
        <v>606.68251544999998</v>
      </c>
      <c r="K12" s="479"/>
      <c r="L12" s="494">
        <f t="shared" si="1"/>
        <v>607</v>
      </c>
      <c r="M12" s="495">
        <v>250</v>
      </c>
      <c r="N12" s="496">
        <f t="shared" si="2"/>
        <v>151750</v>
      </c>
      <c r="O12" s="486"/>
      <c r="P12" s="187">
        <f t="shared" si="4"/>
        <v>1214</v>
      </c>
      <c r="Q12" s="188">
        <v>117</v>
      </c>
      <c r="R12" s="188">
        <f t="shared" si="5"/>
        <v>142038</v>
      </c>
      <c r="S12" s="480">
        <f t="shared" si="7"/>
        <v>234</v>
      </c>
      <c r="T12" s="188">
        <f t="shared" si="10"/>
        <v>2124.5</v>
      </c>
      <c r="U12" s="188">
        <v>12</v>
      </c>
      <c r="V12" s="188">
        <f t="shared" si="6"/>
        <v>25494</v>
      </c>
      <c r="Z12" s="480">
        <f t="shared" si="8"/>
        <v>42</v>
      </c>
      <c r="AA12" s="480"/>
      <c r="AB12" s="480">
        <f t="shared" si="9"/>
        <v>276</v>
      </c>
    </row>
    <row r="13" spans="1:31" s="188" customFormat="1" ht="20.100000000000001" customHeight="1" x14ac:dyDescent="0.3">
      <c r="A13"/>
      <c r="B13" s="288"/>
      <c r="C13"/>
      <c r="D13" s="767" t="s">
        <v>452</v>
      </c>
      <c r="E13" s="768"/>
      <c r="F13" s="768"/>
      <c r="G13" s="768"/>
      <c r="H13" s="768"/>
      <c r="I13" s="768"/>
      <c r="J13" s="504">
        <f>SUM(J5:J12)</f>
        <v>204313.52805259923</v>
      </c>
      <c r="K13" s="479"/>
      <c r="L13" s="505">
        <f>SUM(L5:L12)</f>
        <v>204317</v>
      </c>
      <c r="M13" s="506"/>
      <c r="N13" s="507">
        <f>SUM(N5:N12)</f>
        <v>40745378.766163342</v>
      </c>
      <c r="O13" s="486"/>
      <c r="P13" s="187"/>
    </row>
    <row r="14" spans="1:31" x14ac:dyDescent="0.3">
      <c r="D14" s="508"/>
      <c r="E14" s="508"/>
      <c r="F14" s="508"/>
      <c r="G14" s="508"/>
      <c r="H14" s="508"/>
      <c r="I14" s="508"/>
      <c r="M14" s="509"/>
      <c r="N14" s="510"/>
      <c r="O14" s="486"/>
      <c r="P14" s="187"/>
      <c r="Y14" t="s">
        <v>453</v>
      </c>
    </row>
    <row r="15" spans="1:31" s="188" customFormat="1" ht="20.100000000000001" customHeight="1" x14ac:dyDescent="0.3">
      <c r="B15" s="187"/>
      <c r="D15" s="767" t="s">
        <v>454</v>
      </c>
      <c r="E15" s="768"/>
      <c r="F15" s="768"/>
      <c r="G15" s="768"/>
      <c r="H15" s="768"/>
      <c r="I15" s="768"/>
      <c r="J15" s="511">
        <v>163978</v>
      </c>
      <c r="M15" s="509"/>
      <c r="N15" s="512">
        <f>+N13/10^7</f>
        <v>4.0745378766163345</v>
      </c>
      <c r="O15" s="486"/>
      <c r="P15" s="187">
        <f>+P8</f>
        <v>76978</v>
      </c>
      <c r="Q15" s="188">
        <v>96</v>
      </c>
      <c r="R15" s="188">
        <f>+Q15*P15</f>
        <v>7389888</v>
      </c>
      <c r="S15" s="480">
        <f>+R15/L8</f>
        <v>192</v>
      </c>
      <c r="T15" s="480">
        <f>+T8</f>
        <v>134711.5</v>
      </c>
      <c r="U15" s="188">
        <v>12.1</v>
      </c>
      <c r="V15" s="480">
        <f>+U15*T15</f>
        <v>1630009.15</v>
      </c>
      <c r="W15" s="480">
        <f>+L8*0.03*0.4*1700</f>
        <v>785175.59999999986</v>
      </c>
      <c r="X15" s="480">
        <f>+L8*0.03*0.6*550</f>
        <v>381041.1</v>
      </c>
      <c r="Y15" s="480">
        <f>12*5*1500</f>
        <v>90000</v>
      </c>
      <c r="Z15" s="480">
        <f>+V15+R15+W15+X15+Y15</f>
        <v>10276113.85</v>
      </c>
      <c r="AB15" s="480">
        <f>+Z15/L7</f>
        <v>258.85069775057303</v>
      </c>
      <c r="AC15" s="188">
        <f>+AB15*1.07</f>
        <v>276.97024659311319</v>
      </c>
      <c r="AD15" s="480">
        <f>+AB8-AB15</f>
        <v>49.787632681498451</v>
      </c>
      <c r="AE15" s="480"/>
    </row>
    <row r="16" spans="1:31" ht="20.100000000000001" customHeight="1" x14ac:dyDescent="0.3">
      <c r="D16" s="513"/>
      <c r="E16" s="513"/>
      <c r="F16" s="513"/>
      <c r="G16" s="513"/>
      <c r="H16" s="513"/>
      <c r="I16" s="513"/>
      <c r="J16" s="514"/>
      <c r="M16" s="509"/>
      <c r="N16" s="512"/>
      <c r="O16" s="486"/>
      <c r="P16" s="187"/>
      <c r="Q16" s="188"/>
      <c r="S16" s="515"/>
      <c r="T16" s="515"/>
      <c r="U16" s="188"/>
      <c r="Z16" s="188"/>
      <c r="AB16" s="480"/>
    </row>
    <row r="17" spans="10:28" x14ac:dyDescent="0.3">
      <c r="M17" s="509"/>
      <c r="N17" s="510"/>
      <c r="O17" s="486"/>
      <c r="P17" s="187">
        <f t="shared" ref="P17:P20" si="11">+P9</f>
        <v>79358</v>
      </c>
      <c r="Q17" s="188">
        <v>96</v>
      </c>
      <c r="R17">
        <f t="shared" ref="R17:R20" si="12">+Q17*P17</f>
        <v>7618368</v>
      </c>
      <c r="U17" s="188">
        <v>12.1</v>
      </c>
      <c r="V17">
        <f>+U17*T9</f>
        <v>1680405.65</v>
      </c>
      <c r="Z17" s="188">
        <f t="shared" ref="Z17:Z20" si="13">+V17+R17</f>
        <v>9298773.6500000004</v>
      </c>
    </row>
    <row r="18" spans="10:28" x14ac:dyDescent="0.3">
      <c r="J18" s="515"/>
      <c r="M18" s="509"/>
      <c r="N18" s="510"/>
      <c r="O18" s="486"/>
      <c r="P18" s="187">
        <f t="shared" si="11"/>
        <v>79358</v>
      </c>
      <c r="Q18" s="188">
        <v>96</v>
      </c>
      <c r="R18">
        <f t="shared" si="12"/>
        <v>7618368</v>
      </c>
      <c r="U18" s="188">
        <v>12.1</v>
      </c>
      <c r="V18">
        <f>+U18*T10</f>
        <v>1680405.65</v>
      </c>
      <c r="Z18" s="188">
        <f t="shared" si="13"/>
        <v>9298773.6500000004</v>
      </c>
    </row>
    <row r="19" spans="10:28" x14ac:dyDescent="0.3">
      <c r="J19" s="515"/>
      <c r="L19" s="289">
        <f>+L7+L8+L9+L10</f>
        <v>157546</v>
      </c>
      <c r="M19" s="509"/>
      <c r="N19" s="510"/>
      <c r="O19" s="486"/>
      <c r="P19" s="187">
        <f t="shared" si="11"/>
        <v>3858</v>
      </c>
      <c r="Q19" s="188">
        <v>96</v>
      </c>
      <c r="R19">
        <f t="shared" si="12"/>
        <v>370368</v>
      </c>
      <c r="U19" s="188">
        <v>12.1</v>
      </c>
      <c r="V19">
        <f>+U19*T11</f>
        <v>81693.149999999994</v>
      </c>
      <c r="Z19" s="188">
        <f t="shared" si="13"/>
        <v>452061.15</v>
      </c>
    </row>
    <row r="20" spans="10:28" x14ac:dyDescent="0.3">
      <c r="M20" s="509"/>
      <c r="N20" s="510"/>
      <c r="O20" s="486"/>
      <c r="P20" s="187">
        <f t="shared" si="11"/>
        <v>1214</v>
      </c>
      <c r="Q20" s="188">
        <v>96</v>
      </c>
      <c r="R20">
        <f t="shared" si="12"/>
        <v>116544</v>
      </c>
      <c r="U20" s="188">
        <v>12.1</v>
      </c>
      <c r="V20">
        <f>+U20*T12</f>
        <v>25706.45</v>
      </c>
      <c r="Z20" s="188">
        <f t="shared" si="13"/>
        <v>142250.45000000001</v>
      </c>
    </row>
    <row r="21" spans="10:28" x14ac:dyDescent="0.3">
      <c r="M21" s="509"/>
      <c r="N21" s="510"/>
      <c r="O21" s="486"/>
      <c r="P21" s="486"/>
      <c r="R21">
        <f>SUM(R15:R20)</f>
        <v>23113536</v>
      </c>
      <c r="V21">
        <f>SUM(V15:V20)</f>
        <v>5098220.05</v>
      </c>
      <c r="AA21">
        <f>+V21+R21</f>
        <v>28211756.050000001</v>
      </c>
    </row>
    <row r="22" spans="10:28" x14ac:dyDescent="0.3">
      <c r="M22" s="479"/>
      <c r="N22" s="516"/>
      <c r="O22" s="516"/>
      <c r="P22" s="516"/>
    </row>
    <row r="24" spans="10:28" x14ac:dyDescent="0.3">
      <c r="Q24" s="188">
        <v>60</v>
      </c>
      <c r="R24" s="515">
        <f>+Q24*P8</f>
        <v>4618680</v>
      </c>
      <c r="S24" s="515">
        <f>+R24/L8</f>
        <v>120</v>
      </c>
      <c r="T24" s="515"/>
      <c r="U24" s="188">
        <v>12.1</v>
      </c>
      <c r="V24">
        <f>+U24*T8</f>
        <v>1630009.15</v>
      </c>
      <c r="Z24" s="188">
        <f t="shared" ref="Z24:Z28" si="14">+V24+R24</f>
        <v>6248689.1500000004</v>
      </c>
      <c r="AB24" s="480">
        <f>+Z24/L7</f>
        <v>157.40167636464395</v>
      </c>
    </row>
    <row r="25" spans="10:28" x14ac:dyDescent="0.3">
      <c r="Q25" s="188">
        <v>60</v>
      </c>
      <c r="R25" s="515">
        <f>+Q25*P9</f>
        <v>4761480</v>
      </c>
      <c r="U25" s="188">
        <v>12.1</v>
      </c>
      <c r="V25">
        <f>+U25*T9</f>
        <v>1680405.65</v>
      </c>
      <c r="Z25" s="188">
        <f t="shared" si="14"/>
        <v>6441885.6500000004</v>
      </c>
    </row>
    <row r="26" spans="10:28" x14ac:dyDescent="0.3">
      <c r="Q26" s="188">
        <v>60</v>
      </c>
      <c r="R26" s="515">
        <f>+Q26*P10</f>
        <v>4761480</v>
      </c>
      <c r="U26" s="188">
        <v>12.1</v>
      </c>
      <c r="V26">
        <f>+U26*T10</f>
        <v>1680405.65</v>
      </c>
      <c r="Z26" s="188">
        <f t="shared" si="14"/>
        <v>6441885.6500000004</v>
      </c>
    </row>
    <row r="27" spans="10:28" x14ac:dyDescent="0.3">
      <c r="Q27" s="188">
        <v>60</v>
      </c>
      <c r="R27" s="515">
        <f>+Q27*P11</f>
        <v>231480</v>
      </c>
      <c r="U27" s="188">
        <v>12.1</v>
      </c>
      <c r="V27">
        <f>+U27*T11</f>
        <v>81693.149999999994</v>
      </c>
      <c r="Z27" s="188">
        <f t="shared" si="14"/>
        <v>313173.15000000002</v>
      </c>
    </row>
    <row r="28" spans="10:28" x14ac:dyDescent="0.3">
      <c r="Q28" s="188">
        <v>60</v>
      </c>
      <c r="R28" s="515">
        <f>+Q28*P12</f>
        <v>72840</v>
      </c>
      <c r="U28" s="188">
        <v>12.1</v>
      </c>
      <c r="V28">
        <f>+U28*T12</f>
        <v>25706.45</v>
      </c>
      <c r="Z28" s="188">
        <f t="shared" si="14"/>
        <v>98546.45</v>
      </c>
    </row>
    <row r="29" spans="10:28" x14ac:dyDescent="0.3">
      <c r="R29">
        <f>SUM(R24:R28)</f>
        <v>14445960</v>
      </c>
      <c r="V29">
        <f>SUM(V24:V28)</f>
        <v>5098220.05</v>
      </c>
      <c r="AA29">
        <f>+V29+R29</f>
        <v>19544180.050000001</v>
      </c>
    </row>
  </sheetData>
  <mergeCells count="5">
    <mergeCell ref="A1:J1"/>
    <mergeCell ref="A2:J2"/>
    <mergeCell ref="A3:J3"/>
    <mergeCell ref="D13:I13"/>
    <mergeCell ref="D15:I1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R107"/>
  <sheetViews>
    <sheetView showGridLines="0" zoomScale="90" zoomScaleNormal="90" workbookViewId="0">
      <pane xSplit="9" ySplit="4" topLeftCell="J83" activePane="bottomRight" state="frozen"/>
      <selection activeCell="D19" sqref="D19"/>
      <selection pane="topRight" activeCell="D19" sqref="D19"/>
      <selection pane="bottomLeft" activeCell="D19" sqref="D19"/>
      <selection pane="bottomRight" activeCell="C105" sqref="C105:E105"/>
    </sheetView>
  </sheetViews>
  <sheetFormatPr defaultColWidth="9.109375" defaultRowHeight="13.8" x14ac:dyDescent="0.3"/>
  <cols>
    <col min="1" max="1" width="1" style="28" customWidth="1"/>
    <col min="2" max="2" width="3.44140625" style="86" customWidth="1"/>
    <col min="3" max="3" width="20.5546875" style="28" customWidth="1"/>
    <col min="4" max="4" width="5.5546875" style="86" customWidth="1"/>
    <col min="5" max="6" width="4.88671875" style="86" customWidth="1"/>
    <col min="7" max="7" width="7.109375" style="86" bestFit="1" customWidth="1"/>
    <col min="8" max="8" width="8.109375" style="86" bestFit="1" customWidth="1"/>
    <col min="9" max="9" width="7.44140625" style="86" customWidth="1"/>
    <col min="10" max="10" width="6.5546875" style="86" customWidth="1"/>
    <col min="11" max="11" width="8.33203125" style="86" customWidth="1"/>
    <col min="12" max="12" width="7.33203125" style="86" customWidth="1"/>
    <col min="13" max="13" width="6.5546875" style="86" customWidth="1"/>
    <col min="14" max="14" width="8.6640625" style="28" bestFit="1" customWidth="1"/>
    <col min="15" max="15" width="7.6640625" style="28" customWidth="1"/>
    <col min="16" max="16" width="6.5546875" style="28" customWidth="1"/>
    <col min="17" max="17" width="9.33203125" style="28" customWidth="1"/>
    <col min="18" max="18" width="7.44140625" style="28" customWidth="1"/>
    <col min="19" max="19" width="8.6640625" style="28" bestFit="1" customWidth="1"/>
    <col min="20" max="20" width="8.6640625" style="28" customWidth="1"/>
    <col min="21" max="21" width="4.44140625" style="28" customWidth="1"/>
    <col min="22" max="22" width="0.33203125" style="28" customWidth="1"/>
    <col min="23" max="23" width="7.109375" style="28" customWidth="1"/>
    <col min="24" max="24" width="8" style="28" customWidth="1"/>
    <col min="25" max="25" width="6.5546875" style="28" customWidth="1"/>
    <col min="26" max="26" width="7" style="28" customWidth="1"/>
    <col min="27" max="27" width="7.6640625" style="28" customWidth="1"/>
    <col min="28" max="28" width="7.109375" style="28" customWidth="1"/>
    <col min="29" max="29" width="0.44140625" style="28" customWidth="1"/>
    <col min="30" max="32" width="6.5546875" style="28" customWidth="1"/>
    <col min="33" max="33" width="0.44140625" style="28" customWidth="1"/>
    <col min="34" max="34" width="5.88671875" style="87" bestFit="1" customWidth="1"/>
    <col min="35" max="35" width="13.33203125" style="88" customWidth="1"/>
    <col min="36" max="36" width="1.6640625" style="28" customWidth="1"/>
    <col min="37" max="37" width="11.6640625" style="28" bestFit="1" customWidth="1"/>
    <col min="38" max="38" width="8.88671875" style="28" bestFit="1" customWidth="1"/>
    <col min="39" max="39" width="7.6640625" style="28" bestFit="1" customWidth="1"/>
    <col min="40" max="40" width="11.6640625" style="28" bestFit="1" customWidth="1"/>
    <col min="41" max="41" width="11.88671875" style="106" customWidth="1"/>
    <col min="42" max="42" width="11.6640625" style="28" bestFit="1" customWidth="1"/>
    <col min="43" max="43" width="7.6640625" style="28" bestFit="1" customWidth="1"/>
    <col min="44" max="16384" width="9.109375" style="28"/>
  </cols>
  <sheetData>
    <row r="1" spans="2:43" ht="5.25" customHeight="1" x14ac:dyDescent="0.3"/>
    <row r="2" spans="2:43" ht="18.75" customHeight="1" x14ac:dyDescent="0.3">
      <c r="B2" s="780" t="s">
        <v>431</v>
      </c>
      <c r="C2" s="780"/>
      <c r="D2" s="90"/>
      <c r="E2" s="90"/>
      <c r="F2" s="90"/>
      <c r="G2" s="90"/>
      <c r="H2" s="90"/>
      <c r="I2" s="90"/>
      <c r="J2" s="90"/>
      <c r="K2" s="258"/>
      <c r="L2" s="90"/>
      <c r="M2" s="90"/>
      <c r="P2" s="28">
        <f>10.25+2.25</f>
        <v>12.5</v>
      </c>
    </row>
    <row r="3" spans="2:43" ht="18.75" customHeight="1" x14ac:dyDescent="0.3">
      <c r="B3" s="778" t="s">
        <v>0</v>
      </c>
      <c r="C3" s="778" t="s">
        <v>1</v>
      </c>
      <c r="D3" s="778" t="s">
        <v>2</v>
      </c>
      <c r="E3" s="778" t="s">
        <v>3</v>
      </c>
      <c r="F3" s="778"/>
      <c r="G3" s="778" t="s">
        <v>4</v>
      </c>
      <c r="H3" s="778" t="s">
        <v>5</v>
      </c>
      <c r="I3" s="779" t="s">
        <v>6</v>
      </c>
      <c r="J3" s="778" t="s">
        <v>7</v>
      </c>
      <c r="K3" s="778"/>
      <c r="L3" s="778"/>
      <c r="M3" s="778" t="s">
        <v>8</v>
      </c>
      <c r="N3" s="778"/>
      <c r="O3" s="778"/>
      <c r="P3" s="778" t="s">
        <v>9</v>
      </c>
      <c r="Q3" s="778"/>
      <c r="R3" s="778"/>
      <c r="S3" s="778" t="s">
        <v>10</v>
      </c>
      <c r="T3" s="778"/>
      <c r="U3" s="778" t="s">
        <v>11</v>
      </c>
      <c r="V3" s="91"/>
      <c r="W3" s="778" t="s">
        <v>12</v>
      </c>
      <c r="X3" s="778"/>
      <c r="Y3" s="778"/>
      <c r="Z3" s="778"/>
      <c r="AA3" s="778" t="s">
        <v>13</v>
      </c>
      <c r="AB3" s="778"/>
      <c r="AC3" s="91"/>
      <c r="AD3" s="778" t="s">
        <v>14</v>
      </c>
      <c r="AE3" s="778"/>
      <c r="AF3" s="778"/>
      <c r="AG3" s="91"/>
      <c r="AH3" s="771" t="s">
        <v>15</v>
      </c>
      <c r="AI3" s="771"/>
      <c r="AK3" s="771" t="s">
        <v>310</v>
      </c>
      <c r="AL3" s="771"/>
      <c r="AM3" s="771" t="s">
        <v>311</v>
      </c>
      <c r="AN3" s="771"/>
      <c r="AO3" s="355" t="s">
        <v>312</v>
      </c>
      <c r="AP3" s="771" t="s">
        <v>314</v>
      </c>
      <c r="AQ3" s="771"/>
    </row>
    <row r="4" spans="2:43" ht="31.5" customHeight="1" x14ac:dyDescent="0.3">
      <c r="B4" s="778"/>
      <c r="C4" s="778"/>
      <c r="D4" s="778"/>
      <c r="E4" s="778"/>
      <c r="F4" s="778"/>
      <c r="G4" s="778"/>
      <c r="H4" s="778"/>
      <c r="I4" s="779"/>
      <c r="J4" s="368" t="s">
        <v>16</v>
      </c>
      <c r="K4" s="368" t="s">
        <v>17</v>
      </c>
      <c r="L4" s="368" t="s">
        <v>18</v>
      </c>
      <c r="M4" s="368" t="s">
        <v>16</v>
      </c>
      <c r="N4" s="368" t="s">
        <v>17</v>
      </c>
      <c r="O4" s="368" t="s">
        <v>18</v>
      </c>
      <c r="P4" s="368" t="s">
        <v>16</v>
      </c>
      <c r="Q4" s="368" t="s">
        <v>17</v>
      </c>
      <c r="R4" s="368" t="s">
        <v>18</v>
      </c>
      <c r="S4" s="368" t="s">
        <v>17</v>
      </c>
      <c r="T4" s="368" t="s">
        <v>18</v>
      </c>
      <c r="U4" s="778"/>
      <c r="V4" s="91"/>
      <c r="W4" s="368" t="s">
        <v>4</v>
      </c>
      <c r="X4" s="368" t="s">
        <v>16</v>
      </c>
      <c r="Y4" s="368" t="s">
        <v>19</v>
      </c>
      <c r="Z4" s="368" t="s">
        <v>20</v>
      </c>
      <c r="AA4" s="368" t="s">
        <v>21</v>
      </c>
      <c r="AB4" s="368" t="s">
        <v>22</v>
      </c>
      <c r="AC4" s="91"/>
      <c r="AD4" s="368" t="s">
        <v>16</v>
      </c>
      <c r="AE4" s="368" t="s">
        <v>19</v>
      </c>
      <c r="AF4" s="368" t="s">
        <v>20</v>
      </c>
      <c r="AG4" s="91"/>
      <c r="AH4" s="303" t="s">
        <v>3</v>
      </c>
      <c r="AI4" s="355" t="s">
        <v>23</v>
      </c>
      <c r="AK4" s="355" t="s">
        <v>19</v>
      </c>
      <c r="AL4" s="355" t="s">
        <v>20</v>
      </c>
      <c r="AM4" s="355" t="s">
        <v>19</v>
      </c>
      <c r="AN4" s="355" t="s">
        <v>20</v>
      </c>
      <c r="AO4" s="355" t="s">
        <v>20</v>
      </c>
      <c r="AP4" s="355" t="s">
        <v>19</v>
      </c>
      <c r="AQ4" s="355" t="s">
        <v>20</v>
      </c>
    </row>
    <row r="5" spans="2:43" ht="32.25" customHeight="1" x14ac:dyDescent="0.3">
      <c r="B5" s="92">
        <v>1</v>
      </c>
      <c r="C5" s="93" t="s">
        <v>515</v>
      </c>
      <c r="D5" s="92"/>
      <c r="E5" s="92"/>
      <c r="F5" s="92"/>
      <c r="G5" s="92"/>
      <c r="H5" s="92"/>
      <c r="I5" s="94"/>
      <c r="J5" s="92"/>
      <c r="K5" s="92"/>
      <c r="L5" s="92"/>
      <c r="M5" s="92"/>
      <c r="N5" s="92"/>
      <c r="O5" s="92"/>
      <c r="P5" s="92"/>
      <c r="Q5" s="92"/>
      <c r="R5" s="92"/>
      <c r="S5" s="92"/>
      <c r="T5" s="92"/>
      <c r="U5" s="92"/>
      <c r="V5" s="95"/>
      <c r="W5" s="92"/>
      <c r="X5" s="92"/>
      <c r="Y5" s="92"/>
      <c r="Z5" s="92"/>
      <c r="AA5" s="92"/>
      <c r="AB5" s="92"/>
      <c r="AC5" s="95"/>
      <c r="AD5" s="92"/>
      <c r="AE5" s="92"/>
      <c r="AF5" s="92"/>
      <c r="AG5" s="95"/>
      <c r="AH5" s="304"/>
      <c r="AI5" s="301"/>
      <c r="AK5" s="301"/>
      <c r="AL5" s="301"/>
      <c r="AM5" s="301"/>
      <c r="AN5" s="301"/>
      <c r="AO5" s="299"/>
      <c r="AP5" s="301"/>
      <c r="AQ5" s="301"/>
    </row>
    <row r="6" spans="2:43" ht="20.100000000000001" customHeight="1" x14ac:dyDescent="0.3">
      <c r="B6" s="92"/>
      <c r="C6" s="96"/>
      <c r="D6" s="92"/>
      <c r="E6" s="92"/>
      <c r="F6" s="92"/>
      <c r="G6" s="92"/>
      <c r="H6" s="92"/>
      <c r="I6" s="94"/>
      <c r="J6" s="92"/>
      <c r="K6" s="92"/>
      <c r="L6" s="92"/>
      <c r="M6" s="92"/>
      <c r="N6" s="92"/>
      <c r="O6" s="92"/>
      <c r="P6" s="92"/>
      <c r="Q6" s="92"/>
      <c r="R6" s="92"/>
      <c r="S6" s="92"/>
      <c r="T6" s="92"/>
      <c r="U6" s="92"/>
      <c r="V6" s="95"/>
      <c r="W6" s="92"/>
      <c r="X6" s="92"/>
      <c r="Y6" s="92"/>
      <c r="Z6" s="92"/>
      <c r="AA6" s="92"/>
      <c r="AB6" s="92"/>
      <c r="AC6" s="95"/>
      <c r="AD6" s="92"/>
      <c r="AE6" s="92"/>
      <c r="AF6" s="92"/>
      <c r="AG6" s="95"/>
      <c r="AH6" s="305"/>
      <c r="AI6" s="306"/>
      <c r="AK6" s="301">
        <f>+IF(D6=0.667,E6*F6*G6,0)</f>
        <v>0</v>
      </c>
      <c r="AL6" s="301">
        <f>+IF(D6=0.333,E6*F6*G6,0)</f>
        <v>0</v>
      </c>
      <c r="AM6" s="301"/>
      <c r="AN6" s="301"/>
      <c r="AO6" s="299"/>
      <c r="AP6" s="301"/>
      <c r="AQ6" s="301"/>
    </row>
    <row r="7" spans="2:43" ht="20.100000000000001" customHeight="1" x14ac:dyDescent="0.3">
      <c r="B7" s="92"/>
      <c r="C7" s="97" t="s">
        <v>329</v>
      </c>
      <c r="D7" s="98"/>
      <c r="E7" s="92"/>
      <c r="F7" s="92"/>
      <c r="G7" s="98"/>
      <c r="H7" s="98"/>
      <c r="I7" s="94"/>
      <c r="J7" s="92"/>
      <c r="K7" s="92"/>
      <c r="L7" s="92"/>
      <c r="M7" s="92"/>
      <c r="N7" s="92"/>
      <c r="O7" s="92"/>
      <c r="P7" s="92"/>
      <c r="Q7" s="92"/>
      <c r="R7" s="92"/>
      <c r="S7" s="92"/>
      <c r="T7" s="92"/>
      <c r="U7" s="92"/>
      <c r="V7" s="91"/>
      <c r="W7" s="102"/>
      <c r="X7" s="98"/>
      <c r="Y7" s="102"/>
      <c r="Z7" s="98"/>
      <c r="AA7" s="98"/>
      <c r="AB7" s="98"/>
      <c r="AC7" s="91"/>
      <c r="AD7" s="98"/>
      <c r="AE7" s="98"/>
      <c r="AF7" s="98"/>
      <c r="AG7" s="91"/>
      <c r="AH7" s="304"/>
      <c r="AI7" s="299"/>
      <c r="AK7" s="301">
        <f t="shared" ref="AK7:AK70" si="0">+IF(D7=0.667,E7*F7*G7,0)</f>
        <v>0</v>
      </c>
      <c r="AL7" s="301">
        <f t="shared" ref="AL7:AL70" si="1">+IF(D7=0.333,E7*F7*G7,0)</f>
        <v>0</v>
      </c>
      <c r="AM7" s="301"/>
      <c r="AN7" s="301">
        <f>+IF(D7=0.333,1,0)</f>
        <v>0</v>
      </c>
      <c r="AO7" s="299"/>
      <c r="AP7" s="301"/>
      <c r="AQ7" s="301"/>
    </row>
    <row r="8" spans="2:43" ht="20.100000000000001" customHeight="1" x14ac:dyDescent="0.3">
      <c r="B8" s="92"/>
      <c r="C8" s="95" t="s">
        <v>33</v>
      </c>
      <c r="D8" s="98">
        <v>0.66700000000000004</v>
      </c>
      <c r="E8" s="92">
        <v>1</v>
      </c>
      <c r="F8" s="92">
        <v>1</v>
      </c>
      <c r="G8" s="98">
        <f>(5.772+3.11)*3.281</f>
        <v>29.141842</v>
      </c>
      <c r="H8" s="98">
        <f>+D8</f>
        <v>0.66700000000000004</v>
      </c>
      <c r="I8" s="94">
        <v>2</v>
      </c>
      <c r="J8" s="99">
        <v>3</v>
      </c>
      <c r="K8" s="100">
        <f>+IF(D8=0.667,E8*F8*G8*H8*J8,0)</f>
        <v>58.312825842000009</v>
      </c>
      <c r="L8" s="100">
        <f>+IF(D8=0.333,E8*F8*G8*J8,0)</f>
        <v>0</v>
      </c>
      <c r="M8" s="99">
        <v>4</v>
      </c>
      <c r="N8" s="100">
        <f>+IF(D8=0.667,E8*F8*G8*H8*M8,0)</f>
        <v>77.750434456000008</v>
      </c>
      <c r="O8" s="100">
        <f>+IF(D8=0.333,E8*F8*G8*M8,0)</f>
        <v>0</v>
      </c>
      <c r="P8" s="99">
        <f>12.5-I8-M8-J8</f>
        <v>3.5</v>
      </c>
      <c r="Q8" s="100">
        <f>+IF(D8=0.667,E8*F8*G8*H8*P8,0)</f>
        <v>68.031630149000009</v>
      </c>
      <c r="R8" s="100">
        <f>+IF(D8=0.333,E8*F8*G8*P8,0)</f>
        <v>0</v>
      </c>
      <c r="S8" s="101">
        <f t="shared" ref="S8:T11" si="2">+Q8+N8+K8</f>
        <v>204.09489044700001</v>
      </c>
      <c r="T8" s="101">
        <f t="shared" si="2"/>
        <v>0</v>
      </c>
      <c r="U8" s="92"/>
      <c r="V8" s="91"/>
      <c r="W8" s="102"/>
      <c r="X8" s="98"/>
      <c r="Y8" s="102"/>
      <c r="Z8" s="98"/>
      <c r="AA8" s="98"/>
      <c r="AB8" s="98"/>
      <c r="AC8" s="91"/>
      <c r="AD8" s="98"/>
      <c r="AE8" s="98"/>
      <c r="AF8" s="98"/>
      <c r="AG8" s="91"/>
      <c r="AH8" s="304">
        <v>1</v>
      </c>
      <c r="AI8" s="299">
        <f>+AH8*G8*D8*0.17</f>
        <v>3.3043934643800004</v>
      </c>
      <c r="AK8" s="301">
        <f t="shared" si="0"/>
        <v>29.141842</v>
      </c>
      <c r="AL8" s="301">
        <f t="shared" si="1"/>
        <v>0</v>
      </c>
      <c r="AM8" s="301"/>
      <c r="AN8" s="301"/>
      <c r="AO8" s="299"/>
      <c r="AP8" s="301"/>
      <c r="AQ8" s="301"/>
    </row>
    <row r="9" spans="2:43" ht="20.100000000000001" customHeight="1" x14ac:dyDescent="0.3">
      <c r="B9" s="92"/>
      <c r="C9" s="95" t="s">
        <v>328</v>
      </c>
      <c r="D9" s="98">
        <v>0.66700000000000004</v>
      </c>
      <c r="E9" s="92">
        <v>-1</v>
      </c>
      <c r="F9" s="701">
        <v>1</v>
      </c>
      <c r="G9" s="98">
        <v>3.25</v>
      </c>
      <c r="H9" s="98">
        <f>+D9</f>
        <v>0.66700000000000004</v>
      </c>
      <c r="I9" s="102"/>
      <c r="J9" s="99">
        <v>3</v>
      </c>
      <c r="K9" s="100">
        <f>+IF(D9=0.667,E9*F9*G9*H9*J9,0)</f>
        <v>-6.5032500000000013</v>
      </c>
      <c r="L9" s="100">
        <f>+IF(D9=0.333,E9*F9*G9*J9,0)</f>
        <v>0</v>
      </c>
      <c r="M9" s="99">
        <v>4</v>
      </c>
      <c r="N9" s="100">
        <f>+IF(D9=0.667,E9*F9*G9*H9*M9,0)</f>
        <v>-8.6710000000000012</v>
      </c>
      <c r="O9" s="100">
        <f>+IF(D9=0.333,E9*F9*G9*M9,0)</f>
        <v>0</v>
      </c>
      <c r="P9" s="99"/>
      <c r="Q9" s="100">
        <f>+IF(D9=0.667,E9*F9*G9*H9*P9,0)</f>
        <v>0</v>
      </c>
      <c r="R9" s="100">
        <f>+IF(D9=0.333,E9*F9*G9*P9,0)</f>
        <v>0</v>
      </c>
      <c r="S9" s="101">
        <f t="shared" si="2"/>
        <v>-15.174250000000002</v>
      </c>
      <c r="T9" s="101">
        <f t="shared" si="2"/>
        <v>0</v>
      </c>
      <c r="U9" s="92"/>
      <c r="V9" s="91"/>
      <c r="W9" s="98">
        <f>+G9+D9*2</f>
        <v>4.5839999999999996</v>
      </c>
      <c r="X9" s="98">
        <v>0.5</v>
      </c>
      <c r="Y9" s="98">
        <f>+IF(D9=0.667,-E9*F9*H9*W9*X9,0)</f>
        <v>1.528764</v>
      </c>
      <c r="Z9" s="98">
        <f>+IF(D9=0.333,-E9*F9*H9*W9*X9,0)</f>
        <v>0</v>
      </c>
      <c r="AA9" s="98">
        <f>+F9*G9*H9</f>
        <v>2.1677500000000003</v>
      </c>
      <c r="AB9" s="98">
        <f t="shared" ref="AB9" si="3">2*F9*W9*X9</f>
        <v>4.5839999999999996</v>
      </c>
      <c r="AC9" s="91"/>
      <c r="AD9" s="98"/>
      <c r="AE9" s="98">
        <f>+IF(D9=0.667,AD9*W9*H9*F9,0)</f>
        <v>0</v>
      </c>
      <c r="AF9" s="98">
        <f>+IF(D9=0.333,AD9*W9*H9*F9,0)</f>
        <v>0</v>
      </c>
      <c r="AG9" s="91"/>
      <c r="AH9" s="304"/>
      <c r="AI9" s="299">
        <f>+AH9*G9*D9*0.17</f>
        <v>0</v>
      </c>
      <c r="AK9" s="301">
        <f t="shared" si="0"/>
        <v>-3.25</v>
      </c>
      <c r="AL9" s="301">
        <f t="shared" si="1"/>
        <v>0</v>
      </c>
      <c r="AM9" s="315">
        <f>+IF(D9=0.667,1.33,0)</f>
        <v>1.33</v>
      </c>
      <c r="AN9" s="301"/>
      <c r="AO9" s="299"/>
      <c r="AP9" s="301"/>
      <c r="AQ9" s="301"/>
    </row>
    <row r="10" spans="2:43" ht="20.100000000000001" customHeight="1" x14ac:dyDescent="0.3">
      <c r="B10" s="92"/>
      <c r="C10" s="95" t="s">
        <v>31</v>
      </c>
      <c r="D10" s="98">
        <v>0.66700000000000004</v>
      </c>
      <c r="E10" s="92">
        <v>1</v>
      </c>
      <c r="F10" s="92">
        <v>1</v>
      </c>
      <c r="G10" s="98">
        <f>(2.135)*3.281</f>
        <v>7.0049349999999997</v>
      </c>
      <c r="H10" s="98">
        <f>+D10</f>
        <v>0.66700000000000004</v>
      </c>
      <c r="I10" s="94">
        <v>2</v>
      </c>
      <c r="J10" s="99">
        <v>3</v>
      </c>
      <c r="K10" s="100">
        <f>+IF(D10=0.667,E10*F10*G10*H10*J10,0)</f>
        <v>14.016874935000001</v>
      </c>
      <c r="L10" s="100">
        <f>+IF(D10=0.333,E10*F10*G10*J10,0)</f>
        <v>0</v>
      </c>
      <c r="M10" s="99">
        <v>4</v>
      </c>
      <c r="N10" s="100">
        <f>+IF(D10=0.667,E10*F10*G10*H10*M10,0)</f>
        <v>18.689166580000002</v>
      </c>
      <c r="O10" s="100">
        <f>+IF(D10=0.333,E10*F10*G10*M10,0)</f>
        <v>0</v>
      </c>
      <c r="P10" s="99">
        <f t="shared" ref="P10:P11" si="4">12.5-I10-M10-J10</f>
        <v>3.5</v>
      </c>
      <c r="Q10" s="100">
        <f>+IF(D10=0.667,E10*F10*G10*H10*P10,0)</f>
        <v>16.353020757500001</v>
      </c>
      <c r="R10" s="100">
        <f>+IF(D10=0.333,E10*F10*G10*P10,0)</f>
        <v>0</v>
      </c>
      <c r="S10" s="101">
        <f t="shared" si="2"/>
        <v>49.0590622725</v>
      </c>
      <c r="T10" s="101">
        <f t="shared" si="2"/>
        <v>0</v>
      </c>
      <c r="U10" s="92"/>
      <c r="V10" s="91"/>
      <c r="W10" s="102"/>
      <c r="X10" s="98"/>
      <c r="Y10" s="102"/>
      <c r="Z10" s="98"/>
      <c r="AA10" s="98"/>
      <c r="AB10" s="98"/>
      <c r="AC10" s="91"/>
      <c r="AD10" s="98"/>
      <c r="AE10" s="98"/>
      <c r="AF10" s="98"/>
      <c r="AG10" s="91"/>
      <c r="AH10" s="304">
        <v>1</v>
      </c>
      <c r="AI10" s="299">
        <f>+AH10*G10*D10*0.17</f>
        <v>0.79428957965000013</v>
      </c>
      <c r="AK10" s="301">
        <f t="shared" si="0"/>
        <v>7.0049349999999997</v>
      </c>
      <c r="AL10" s="301">
        <f t="shared" si="1"/>
        <v>0</v>
      </c>
      <c r="AM10" s="301"/>
      <c r="AN10" s="301"/>
      <c r="AO10" s="299"/>
      <c r="AP10" s="301"/>
      <c r="AQ10" s="301"/>
    </row>
    <row r="11" spans="2:43" ht="20.100000000000001" customHeight="1" x14ac:dyDescent="0.3">
      <c r="B11" s="92"/>
      <c r="C11" s="95" t="s">
        <v>32</v>
      </c>
      <c r="D11" s="98">
        <v>0.66700000000000004</v>
      </c>
      <c r="E11" s="92">
        <v>1</v>
      </c>
      <c r="F11" s="92">
        <v>1</v>
      </c>
      <c r="G11" s="98">
        <f>(6.704+7.64)*3.281</f>
        <v>47.062663999999998</v>
      </c>
      <c r="H11" s="98">
        <f>+D11</f>
        <v>0.66700000000000004</v>
      </c>
      <c r="I11" s="94">
        <v>2</v>
      </c>
      <c r="J11" s="99">
        <v>3</v>
      </c>
      <c r="K11" s="100">
        <f>+IF(D11=0.667,E11*F11*G11*H11*J11,0)</f>
        <v>94.172390664000005</v>
      </c>
      <c r="L11" s="100">
        <f>+IF(D11=0.333,E11*F11*G11*J11,0)</f>
        <v>0</v>
      </c>
      <c r="M11" s="99">
        <v>4</v>
      </c>
      <c r="N11" s="100">
        <f>+IF(D11=0.667,E11*F11*G11*H11*M11,0)</f>
        <v>125.563187552</v>
      </c>
      <c r="O11" s="100">
        <f>+IF(D11=0.333,E11*F11*G11*M11,0)</f>
        <v>0</v>
      </c>
      <c r="P11" s="99">
        <f t="shared" si="4"/>
        <v>3.5</v>
      </c>
      <c r="Q11" s="100">
        <f>+IF(D11=0.667,E11*F11*G11*H11*P11,0)</f>
        <v>109.867789108</v>
      </c>
      <c r="R11" s="100">
        <f>+IF(D11=0.333,E11*F11*G11*P11,0)</f>
        <v>0</v>
      </c>
      <c r="S11" s="101">
        <f t="shared" si="2"/>
        <v>329.60336732400003</v>
      </c>
      <c r="T11" s="101">
        <f t="shared" si="2"/>
        <v>0</v>
      </c>
      <c r="U11" s="92"/>
      <c r="V11" s="91"/>
      <c r="W11" s="102"/>
      <c r="X11" s="98"/>
      <c r="Y11" s="102"/>
      <c r="Z11" s="98"/>
      <c r="AA11" s="98"/>
      <c r="AB11" s="98"/>
      <c r="AC11" s="91"/>
      <c r="AD11" s="98"/>
      <c r="AE11" s="98"/>
      <c r="AF11" s="98"/>
      <c r="AG11" s="91"/>
      <c r="AH11" s="304">
        <v>1</v>
      </c>
      <c r="AI11" s="299">
        <f>+AH11*G11*D11*0.17</f>
        <v>5.3364354709600006</v>
      </c>
      <c r="AK11" s="301">
        <f t="shared" si="0"/>
        <v>47.062663999999998</v>
      </c>
      <c r="AL11" s="301">
        <f t="shared" si="1"/>
        <v>0</v>
      </c>
      <c r="AM11" s="301"/>
      <c r="AN11" s="301"/>
      <c r="AO11" s="299"/>
      <c r="AP11" s="301"/>
      <c r="AQ11" s="301"/>
    </row>
    <row r="12" spans="2:43" ht="20.100000000000001" customHeight="1" x14ac:dyDescent="0.3">
      <c r="B12" s="92"/>
      <c r="C12" s="96"/>
      <c r="D12" s="92"/>
      <c r="E12" s="92"/>
      <c r="F12" s="92"/>
      <c r="G12" s="92"/>
      <c r="H12" s="92"/>
      <c r="I12" s="94"/>
      <c r="J12" s="92"/>
      <c r="K12" s="92"/>
      <c r="L12" s="92"/>
      <c r="M12" s="92"/>
      <c r="N12" s="92"/>
      <c r="O12" s="92"/>
      <c r="P12" s="92"/>
      <c r="Q12" s="92"/>
      <c r="R12" s="92"/>
      <c r="S12" s="92"/>
      <c r="T12" s="92"/>
      <c r="U12" s="92"/>
      <c r="V12" s="95"/>
      <c r="W12" s="92"/>
      <c r="X12" s="92"/>
      <c r="Y12" s="92"/>
      <c r="Z12" s="92"/>
      <c r="AA12" s="92"/>
      <c r="AB12" s="92"/>
      <c r="AC12" s="95"/>
      <c r="AD12" s="92"/>
      <c r="AE12" s="92"/>
      <c r="AF12" s="92"/>
      <c r="AG12" s="95"/>
      <c r="AH12" s="305"/>
      <c r="AI12" s="306"/>
      <c r="AK12" s="301">
        <f t="shared" si="0"/>
        <v>0</v>
      </c>
      <c r="AL12" s="301">
        <f t="shared" si="1"/>
        <v>0</v>
      </c>
      <c r="AM12" s="301"/>
      <c r="AN12" s="301"/>
      <c r="AO12" s="299"/>
      <c r="AP12" s="301"/>
      <c r="AQ12" s="301"/>
    </row>
    <row r="13" spans="2:43" ht="20.100000000000001" customHeight="1" x14ac:dyDescent="0.3">
      <c r="B13" s="92"/>
      <c r="C13" s="97" t="s">
        <v>330</v>
      </c>
      <c r="D13" s="98"/>
      <c r="E13" s="92"/>
      <c r="F13" s="92"/>
      <c r="G13" s="98"/>
      <c r="H13" s="98"/>
      <c r="I13" s="94"/>
      <c r="J13" s="92"/>
      <c r="K13" s="92"/>
      <c r="L13" s="92"/>
      <c r="M13" s="92"/>
      <c r="N13" s="92"/>
      <c r="O13" s="92"/>
      <c r="P13" s="92"/>
      <c r="Q13" s="92"/>
      <c r="R13" s="92"/>
      <c r="S13" s="92"/>
      <c r="T13" s="92"/>
      <c r="U13" s="92"/>
      <c r="V13" s="91"/>
      <c r="W13" s="102"/>
      <c r="X13" s="98"/>
      <c r="Y13" s="102"/>
      <c r="Z13" s="98"/>
      <c r="AA13" s="98"/>
      <c r="AB13" s="98"/>
      <c r="AC13" s="91"/>
      <c r="AD13" s="98"/>
      <c r="AE13" s="98"/>
      <c r="AF13" s="98"/>
      <c r="AG13" s="91"/>
      <c r="AH13" s="304"/>
      <c r="AI13" s="299"/>
      <c r="AK13" s="301">
        <f t="shared" si="0"/>
        <v>0</v>
      </c>
      <c r="AL13" s="301">
        <f t="shared" si="1"/>
        <v>0</v>
      </c>
      <c r="AM13" s="301">
        <v>0</v>
      </c>
      <c r="AN13" s="301"/>
      <c r="AO13" s="299"/>
      <c r="AP13" s="301"/>
      <c r="AQ13" s="301"/>
    </row>
    <row r="14" spans="2:43" ht="20.100000000000001" customHeight="1" x14ac:dyDescent="0.3">
      <c r="B14" s="92"/>
      <c r="C14" s="95" t="s">
        <v>31</v>
      </c>
      <c r="D14" s="98">
        <v>0.66700000000000004</v>
      </c>
      <c r="E14" s="92">
        <v>1</v>
      </c>
      <c r="F14" s="92">
        <v>1</v>
      </c>
      <c r="G14" s="98">
        <f>(1.02+2.55)*3.281</f>
        <v>11.71317</v>
      </c>
      <c r="H14" s="98">
        <f>+D14</f>
        <v>0.66700000000000004</v>
      </c>
      <c r="I14" s="94">
        <v>2</v>
      </c>
      <c r="J14" s="99">
        <v>3</v>
      </c>
      <c r="K14" s="100">
        <f>+IF(D14=0.667,E14*F14*G14*H14*J14,0)</f>
        <v>23.43805317</v>
      </c>
      <c r="L14" s="100">
        <f>+IF(D14=0.333,E14*F14*G14*J14,0)</f>
        <v>0</v>
      </c>
      <c r="M14" s="99">
        <v>4</v>
      </c>
      <c r="N14" s="100">
        <f>+IF(D14=0.667,E14*F14*G14*H14*M14,0)</f>
        <v>31.250737560000001</v>
      </c>
      <c r="O14" s="100">
        <f>+IF(D14=0.333,E14*F14*G14*M14,0)</f>
        <v>0</v>
      </c>
      <c r="P14" s="99">
        <f>12.5-I14-M14-J14</f>
        <v>3.5</v>
      </c>
      <c r="Q14" s="100">
        <f>+IF(D14=0.667,E14*F14*G14*H14*P14,0)</f>
        <v>27.344395365</v>
      </c>
      <c r="R14" s="100">
        <f>+IF(D14=0.333,E14*F14*G14*P14,0)</f>
        <v>0</v>
      </c>
      <c r="S14" s="101">
        <f t="shared" ref="S14:T14" si="5">+Q14+N14+K14</f>
        <v>82.033186095000005</v>
      </c>
      <c r="T14" s="101">
        <f t="shared" si="5"/>
        <v>0</v>
      </c>
      <c r="U14" s="92"/>
      <c r="V14" s="91"/>
      <c r="W14" s="102"/>
      <c r="X14" s="98"/>
      <c r="Y14" s="102"/>
      <c r="Z14" s="98"/>
      <c r="AA14" s="98"/>
      <c r="AB14" s="98"/>
      <c r="AC14" s="91"/>
      <c r="AD14" s="98"/>
      <c r="AE14" s="98"/>
      <c r="AF14" s="98"/>
      <c r="AG14" s="91"/>
      <c r="AH14" s="304">
        <v>1</v>
      </c>
      <c r="AI14" s="299">
        <f>+AH14*G14*D14*0.17</f>
        <v>1.3281563463000001</v>
      </c>
      <c r="AK14" s="301">
        <f t="shared" si="0"/>
        <v>11.71317</v>
      </c>
      <c r="AL14" s="301">
        <f t="shared" si="1"/>
        <v>0</v>
      </c>
      <c r="AM14" s="301"/>
      <c r="AN14" s="301"/>
      <c r="AO14" s="299"/>
      <c r="AP14" s="301"/>
      <c r="AQ14" s="301"/>
    </row>
    <row r="15" spans="2:43" ht="20.100000000000001" customHeight="1" x14ac:dyDescent="0.3">
      <c r="B15" s="92"/>
      <c r="C15" s="95" t="s">
        <v>32</v>
      </c>
      <c r="D15" s="98">
        <v>0.66700000000000004</v>
      </c>
      <c r="E15" s="92">
        <v>1</v>
      </c>
      <c r="F15" s="92">
        <v>1</v>
      </c>
      <c r="G15" s="98">
        <f>(2.913)*3.281</f>
        <v>9.5575530000000004</v>
      </c>
      <c r="H15" s="98">
        <f>+D15</f>
        <v>0.66700000000000004</v>
      </c>
      <c r="I15" s="94">
        <v>2</v>
      </c>
      <c r="J15" s="99">
        <v>3</v>
      </c>
      <c r="K15" s="100">
        <f>+IF(D15=0.667,E15*F15*G15*H15*J15,0)</f>
        <v>19.124663553000001</v>
      </c>
      <c r="L15" s="100">
        <f>+IF(D15=0.333,E15*F15*G15*J15,0)</f>
        <v>0</v>
      </c>
      <c r="M15" s="99">
        <v>4</v>
      </c>
      <c r="N15" s="100">
        <f>+IF(D15=0.667,E15*F15*G15*H15*M15,0)</f>
        <v>25.499551404000002</v>
      </c>
      <c r="O15" s="100">
        <f>+IF(D15=0.333,E15*F15*G15*M15,0)</f>
        <v>0</v>
      </c>
      <c r="P15" s="99">
        <f>12.5-I15-M15-J15</f>
        <v>3.5</v>
      </c>
      <c r="Q15" s="100">
        <f>+IF(D15=0.667,E15*F15*G15*H15*P15,0)</f>
        <v>22.312107478500003</v>
      </c>
      <c r="R15" s="100">
        <f>+IF(D15=0.333,E15*F15*G15*P15,0)</f>
        <v>0</v>
      </c>
      <c r="S15" s="101">
        <f t="shared" ref="S15" si="6">+Q15+N15+K15</f>
        <v>66.936322435500003</v>
      </c>
      <c r="T15" s="101">
        <f t="shared" ref="T15" si="7">+R15+O15+L15</f>
        <v>0</v>
      </c>
      <c r="U15" s="92"/>
      <c r="V15" s="91"/>
      <c r="W15" s="102"/>
      <c r="X15" s="98"/>
      <c r="Y15" s="102"/>
      <c r="Z15" s="98"/>
      <c r="AA15" s="98"/>
      <c r="AB15" s="98"/>
      <c r="AC15" s="91"/>
      <c r="AD15" s="98"/>
      <c r="AE15" s="98"/>
      <c r="AF15" s="98"/>
      <c r="AG15" s="91"/>
      <c r="AH15" s="304">
        <v>1</v>
      </c>
      <c r="AI15" s="299">
        <f>+AH15*G15*D15*0.17</f>
        <v>1.0837309346700001</v>
      </c>
      <c r="AK15" s="301">
        <f t="shared" si="0"/>
        <v>9.5575530000000004</v>
      </c>
      <c r="AL15" s="301">
        <f t="shared" si="1"/>
        <v>0</v>
      </c>
      <c r="AM15" s="301"/>
      <c r="AN15" s="301"/>
      <c r="AO15" s="299"/>
      <c r="AP15" s="301"/>
      <c r="AQ15" s="301"/>
    </row>
    <row r="16" spans="2:43" ht="20.100000000000001" customHeight="1" x14ac:dyDescent="0.3">
      <c r="B16" s="92"/>
      <c r="C16" s="96"/>
      <c r="D16" s="92"/>
      <c r="E16" s="92"/>
      <c r="F16" s="92"/>
      <c r="G16" s="92"/>
      <c r="H16" s="92"/>
      <c r="I16" s="94"/>
      <c r="J16" s="92"/>
      <c r="K16" s="92"/>
      <c r="L16" s="92"/>
      <c r="M16" s="92"/>
      <c r="N16" s="92"/>
      <c r="O16" s="92"/>
      <c r="P16" s="92"/>
      <c r="Q16" s="92"/>
      <c r="R16" s="92"/>
      <c r="S16" s="92"/>
      <c r="T16" s="92"/>
      <c r="U16" s="92"/>
      <c r="V16" s="95"/>
      <c r="W16" s="92"/>
      <c r="X16" s="92"/>
      <c r="Y16" s="92"/>
      <c r="Z16" s="92"/>
      <c r="AA16" s="92"/>
      <c r="AB16" s="92"/>
      <c r="AC16" s="95"/>
      <c r="AD16" s="92"/>
      <c r="AE16" s="92"/>
      <c r="AF16" s="92"/>
      <c r="AG16" s="95"/>
      <c r="AH16" s="305"/>
      <c r="AI16" s="306"/>
      <c r="AK16" s="301">
        <f t="shared" si="0"/>
        <v>0</v>
      </c>
      <c r="AL16" s="301">
        <f t="shared" si="1"/>
        <v>0</v>
      </c>
      <c r="AM16" s="301"/>
      <c r="AN16" s="301"/>
      <c r="AO16" s="299"/>
      <c r="AP16" s="301"/>
      <c r="AQ16" s="301"/>
    </row>
    <row r="17" spans="2:43" ht="20.100000000000001" customHeight="1" x14ac:dyDescent="0.3">
      <c r="B17" s="92"/>
      <c r="C17" s="97" t="s">
        <v>331</v>
      </c>
      <c r="D17" s="98"/>
      <c r="E17" s="92"/>
      <c r="F17" s="92"/>
      <c r="G17" s="98"/>
      <c r="H17" s="98"/>
      <c r="I17" s="94"/>
      <c r="J17" s="92"/>
      <c r="K17" s="92"/>
      <c r="L17" s="92"/>
      <c r="M17" s="92"/>
      <c r="N17" s="92"/>
      <c r="O17" s="92"/>
      <c r="P17" s="92"/>
      <c r="Q17" s="92"/>
      <c r="R17" s="92"/>
      <c r="S17" s="92"/>
      <c r="T17" s="92"/>
      <c r="U17" s="92"/>
      <c r="V17" s="91"/>
      <c r="W17" s="102"/>
      <c r="X17" s="98"/>
      <c r="Y17" s="102"/>
      <c r="Z17" s="98"/>
      <c r="AA17" s="98"/>
      <c r="AB17" s="98"/>
      <c r="AC17" s="91"/>
      <c r="AD17" s="98"/>
      <c r="AE17" s="98"/>
      <c r="AF17" s="98"/>
      <c r="AG17" s="91"/>
      <c r="AH17" s="304"/>
      <c r="AI17" s="299"/>
      <c r="AK17" s="301">
        <f t="shared" si="0"/>
        <v>0</v>
      </c>
      <c r="AL17" s="301">
        <f t="shared" si="1"/>
        <v>0</v>
      </c>
      <c r="AM17" s="301">
        <v>0</v>
      </c>
      <c r="AN17" s="301"/>
      <c r="AO17" s="299"/>
      <c r="AP17" s="301"/>
      <c r="AQ17" s="301"/>
    </row>
    <row r="18" spans="2:43" ht="20.100000000000001" customHeight="1" x14ac:dyDescent="0.3">
      <c r="B18" s="92"/>
      <c r="C18" s="95" t="s">
        <v>33</v>
      </c>
      <c r="D18" s="98">
        <v>0.66700000000000004</v>
      </c>
      <c r="E18" s="92">
        <v>1</v>
      </c>
      <c r="F18" s="92">
        <v>1</v>
      </c>
      <c r="G18" s="98">
        <f>(1.201)*3.281</f>
        <v>3.9404810000000006</v>
      </c>
      <c r="H18" s="98">
        <f>+D18</f>
        <v>0.66700000000000004</v>
      </c>
      <c r="I18" s="94">
        <v>2</v>
      </c>
      <c r="J18" s="99">
        <v>3</v>
      </c>
      <c r="K18" s="100">
        <f>+IF(D18=0.667,E18*F18*G18*H18*J18,0)</f>
        <v>7.884902481000001</v>
      </c>
      <c r="L18" s="100">
        <f>+IF(D18=0.333,E18*F18*G18*J18,0)</f>
        <v>0</v>
      </c>
      <c r="M18" s="99">
        <v>4</v>
      </c>
      <c r="N18" s="100">
        <f>+IF(D18=0.667,E18*F18*G18*H18*M18,0)</f>
        <v>10.513203308000001</v>
      </c>
      <c r="O18" s="100">
        <f>+IF(D18=0.333,E18*F18*G18*M18,0)</f>
        <v>0</v>
      </c>
      <c r="P18" s="99">
        <f>12.5-I18-M18-J18</f>
        <v>3.5</v>
      </c>
      <c r="Q18" s="100">
        <f>+IF(D18=0.667,E18*F18*G18*H18*P18,0)</f>
        <v>9.1990528945000012</v>
      </c>
      <c r="R18" s="100">
        <f>+IF(D18=0.333,E18*F18*G18*P18,0)</f>
        <v>0</v>
      </c>
      <c r="S18" s="101">
        <f t="shared" ref="S18:S19" si="8">+Q18+N18+K18</f>
        <v>27.597158683500002</v>
      </c>
      <c r="T18" s="101">
        <f t="shared" ref="T18:T19" si="9">+R18+O18+L18</f>
        <v>0</v>
      </c>
      <c r="U18" s="92"/>
      <c r="V18" s="91"/>
      <c r="W18" s="102"/>
      <c r="X18" s="98"/>
      <c r="Y18" s="102"/>
      <c r="Z18" s="98"/>
      <c r="AA18" s="98"/>
      <c r="AB18" s="98"/>
      <c r="AC18" s="91"/>
      <c r="AD18" s="98"/>
      <c r="AE18" s="98"/>
      <c r="AF18" s="98"/>
      <c r="AG18" s="91"/>
      <c r="AH18" s="304">
        <v>1</v>
      </c>
      <c r="AI18" s="299">
        <f>+AH18*G18*D18*0.17</f>
        <v>0.4468111405900001</v>
      </c>
      <c r="AK18" s="301">
        <f t="shared" si="0"/>
        <v>3.9404810000000006</v>
      </c>
      <c r="AL18" s="301">
        <f t="shared" si="1"/>
        <v>0</v>
      </c>
      <c r="AM18" s="301"/>
      <c r="AN18" s="301"/>
      <c r="AO18" s="299"/>
      <c r="AP18" s="301"/>
      <c r="AQ18" s="301"/>
    </row>
    <row r="19" spans="2:43" ht="20.100000000000001" customHeight="1" x14ac:dyDescent="0.3">
      <c r="B19" s="92"/>
      <c r="C19" s="95" t="s">
        <v>31</v>
      </c>
      <c r="D19" s="98">
        <v>0.66700000000000004</v>
      </c>
      <c r="E19" s="92">
        <v>1</v>
      </c>
      <c r="F19" s="92">
        <v>1</v>
      </c>
      <c r="G19" s="98">
        <f>(1.707)*3.281</f>
        <v>5.6006670000000005</v>
      </c>
      <c r="H19" s="98">
        <f>+D19</f>
        <v>0.66700000000000004</v>
      </c>
      <c r="I19" s="94">
        <v>2</v>
      </c>
      <c r="J19" s="99">
        <v>3</v>
      </c>
      <c r="K19" s="100">
        <f>+IF(D19=0.667,E19*F19*G19*H19*J19,0)</f>
        <v>11.206934667000002</v>
      </c>
      <c r="L19" s="100">
        <f>+IF(D19=0.333,E19*F19*G19*J19,0)</f>
        <v>0</v>
      </c>
      <c r="M19" s="99">
        <v>4</v>
      </c>
      <c r="N19" s="100">
        <f>+IF(D19=0.667,E19*F19*G19*H19*M19,0)</f>
        <v>14.942579556000002</v>
      </c>
      <c r="O19" s="100">
        <f>+IF(D19=0.333,E19*F19*G19*M19,0)</f>
        <v>0</v>
      </c>
      <c r="P19" s="99">
        <f>12.5-I19-M19-J19</f>
        <v>3.5</v>
      </c>
      <c r="Q19" s="100">
        <f>+IF(D19=0.667,E19*F19*G19*H19*P19,0)</f>
        <v>13.074757111500002</v>
      </c>
      <c r="R19" s="100">
        <f>+IF(D19=0.333,E19*F19*G19*P19,0)</f>
        <v>0</v>
      </c>
      <c r="S19" s="101">
        <f t="shared" si="8"/>
        <v>39.224271334500003</v>
      </c>
      <c r="T19" s="101">
        <f t="shared" si="9"/>
        <v>0</v>
      </c>
      <c r="U19" s="92"/>
      <c r="V19" s="91"/>
      <c r="W19" s="102"/>
      <c r="X19" s="98"/>
      <c r="Y19" s="102"/>
      <c r="Z19" s="98"/>
      <c r="AA19" s="98"/>
      <c r="AB19" s="98"/>
      <c r="AC19" s="91"/>
      <c r="AD19" s="98"/>
      <c r="AE19" s="98"/>
      <c r="AF19" s="98"/>
      <c r="AG19" s="91"/>
      <c r="AH19" s="304">
        <v>1</v>
      </c>
      <c r="AI19" s="299">
        <f>+AH19*G19*D19*0.17</f>
        <v>0.63505963113000008</v>
      </c>
      <c r="AK19" s="301">
        <f t="shared" si="0"/>
        <v>5.6006670000000005</v>
      </c>
      <c r="AL19" s="301">
        <f t="shared" si="1"/>
        <v>0</v>
      </c>
      <c r="AM19" s="301"/>
      <c r="AN19" s="301"/>
      <c r="AO19" s="299"/>
      <c r="AP19" s="301"/>
      <c r="AQ19" s="301"/>
    </row>
    <row r="20" spans="2:43" ht="20.100000000000001" customHeight="1" x14ac:dyDescent="0.3">
      <c r="B20" s="92"/>
      <c r="C20" s="95"/>
      <c r="D20" s="98"/>
      <c r="E20" s="92"/>
      <c r="F20" s="92"/>
      <c r="G20" s="98"/>
      <c r="H20" s="98"/>
      <c r="I20" s="102"/>
      <c r="J20" s="92"/>
      <c r="K20" s="92"/>
      <c r="L20" s="92"/>
      <c r="M20" s="92"/>
      <c r="N20" s="92"/>
      <c r="O20" s="92"/>
      <c r="P20" s="92"/>
      <c r="Q20" s="92"/>
      <c r="R20" s="92"/>
      <c r="S20" s="92"/>
      <c r="T20" s="92"/>
      <c r="U20" s="92"/>
      <c r="V20" s="91"/>
      <c r="W20" s="98"/>
      <c r="X20" s="98"/>
      <c r="Y20" s="98"/>
      <c r="Z20" s="98"/>
      <c r="AA20" s="98"/>
      <c r="AB20" s="98"/>
      <c r="AC20" s="91"/>
      <c r="AD20" s="98"/>
      <c r="AE20" s="98"/>
      <c r="AF20" s="98"/>
      <c r="AG20" s="91"/>
      <c r="AH20" s="300"/>
      <c r="AI20" s="301"/>
      <c r="AK20" s="301">
        <f t="shared" si="0"/>
        <v>0</v>
      </c>
      <c r="AL20" s="301">
        <f t="shared" si="1"/>
        <v>0</v>
      </c>
      <c r="AM20" s="301"/>
      <c r="AN20" s="301"/>
      <c r="AO20" s="299"/>
      <c r="AP20" s="301"/>
      <c r="AQ20" s="301"/>
    </row>
    <row r="21" spans="2:43" ht="20.100000000000001" customHeight="1" x14ac:dyDescent="0.3">
      <c r="B21" s="92"/>
      <c r="C21" s="97" t="s">
        <v>332</v>
      </c>
      <c r="D21" s="98"/>
      <c r="E21" s="92"/>
      <c r="F21" s="92"/>
      <c r="G21" s="98"/>
      <c r="H21" s="98"/>
      <c r="I21" s="94"/>
      <c r="J21" s="92"/>
      <c r="K21" s="92"/>
      <c r="L21" s="92"/>
      <c r="M21" s="92"/>
      <c r="N21" s="92"/>
      <c r="O21" s="92"/>
      <c r="P21" s="92"/>
      <c r="Q21" s="92"/>
      <c r="R21" s="92"/>
      <c r="S21" s="92"/>
      <c r="T21" s="92"/>
      <c r="U21" s="92"/>
      <c r="V21" s="91"/>
      <c r="W21" s="102"/>
      <c r="X21" s="98"/>
      <c r="Y21" s="102"/>
      <c r="Z21" s="98"/>
      <c r="AA21" s="98"/>
      <c r="AB21" s="98"/>
      <c r="AC21" s="91"/>
      <c r="AD21" s="98"/>
      <c r="AE21" s="98"/>
      <c r="AF21" s="98"/>
      <c r="AG21" s="91"/>
      <c r="AH21" s="305"/>
      <c r="AI21" s="299"/>
      <c r="AK21" s="301">
        <f t="shared" si="0"/>
        <v>0</v>
      </c>
      <c r="AL21" s="301">
        <f t="shared" si="1"/>
        <v>0</v>
      </c>
      <c r="AM21" s="301"/>
      <c r="AN21" s="301">
        <f>+IF(D21=0.333,1.33,0)</f>
        <v>0</v>
      </c>
      <c r="AO21" s="299"/>
      <c r="AP21" s="301"/>
      <c r="AQ21" s="301"/>
    </row>
    <row r="22" spans="2:43" ht="20.100000000000001" customHeight="1" x14ac:dyDescent="0.3">
      <c r="B22" s="92"/>
      <c r="C22" s="95" t="s">
        <v>33</v>
      </c>
      <c r="D22" s="98">
        <v>0.66700000000000004</v>
      </c>
      <c r="E22" s="92">
        <v>1</v>
      </c>
      <c r="F22" s="92">
        <v>1</v>
      </c>
      <c r="G22" s="98">
        <f>+(2.135*3.281)</f>
        <v>7.0049349999999997</v>
      </c>
      <c r="H22" s="98">
        <f>+D22</f>
        <v>0.66700000000000004</v>
      </c>
      <c r="I22" s="94">
        <v>2</v>
      </c>
      <c r="J22" s="99">
        <v>3</v>
      </c>
      <c r="K22" s="100">
        <f>+IF(D22=0.667,E22*F22*G22*H22*J22,0)</f>
        <v>14.016874935000001</v>
      </c>
      <c r="L22" s="100">
        <f>+IF(D22=0.333,E22*F22*G22*J22,0)</f>
        <v>0</v>
      </c>
      <c r="M22" s="99">
        <v>4</v>
      </c>
      <c r="N22" s="100">
        <f>+IF(D22=0.667,E22*F22*G22*H22*M22,0)</f>
        <v>18.689166580000002</v>
      </c>
      <c r="O22" s="100">
        <f>+IF(D22=0.333,E22*F22*G22*M22,0)</f>
        <v>0</v>
      </c>
      <c r="P22" s="99">
        <f>12.5-I22-M22-J22</f>
        <v>3.5</v>
      </c>
      <c r="Q22" s="100">
        <f>+IF(D22=0.667,E22*F22*G22*H22*P22,0)</f>
        <v>16.353020757500001</v>
      </c>
      <c r="R22" s="100">
        <f>+IF(D22=0.333,E22*F22*G22*P22,0)</f>
        <v>0</v>
      </c>
      <c r="S22" s="101">
        <f t="shared" ref="S22:T24" si="10">+Q22+N22+K22</f>
        <v>49.0590622725</v>
      </c>
      <c r="T22" s="101">
        <f t="shared" si="10"/>
        <v>0</v>
      </c>
      <c r="U22" s="92"/>
      <c r="V22" s="91"/>
      <c r="W22" s="102"/>
      <c r="X22" s="98"/>
      <c r="Y22" s="102"/>
      <c r="Z22" s="98"/>
      <c r="AA22" s="98"/>
      <c r="AB22" s="98"/>
      <c r="AC22" s="91"/>
      <c r="AD22" s="98"/>
      <c r="AE22" s="98"/>
      <c r="AF22" s="98"/>
      <c r="AG22" s="91"/>
      <c r="AH22" s="305">
        <v>1</v>
      </c>
      <c r="AI22" s="299">
        <f>+AH22*G22*D22*0.17</f>
        <v>0.79428957965000013</v>
      </c>
      <c r="AK22" s="301">
        <f t="shared" si="0"/>
        <v>7.0049349999999997</v>
      </c>
      <c r="AL22" s="301">
        <f t="shared" si="1"/>
        <v>0</v>
      </c>
      <c r="AM22" s="301"/>
      <c r="AN22" s="301">
        <f>+IF(D22=0.333,1.33,0)</f>
        <v>0</v>
      </c>
      <c r="AO22" s="299"/>
      <c r="AP22" s="301">
        <f>+S22</f>
        <v>49.0590622725</v>
      </c>
      <c r="AQ22" s="301"/>
    </row>
    <row r="23" spans="2:43" ht="20.100000000000001" customHeight="1" x14ac:dyDescent="0.3">
      <c r="B23" s="18"/>
      <c r="C23" s="62" t="s">
        <v>130</v>
      </c>
      <c r="D23" s="98">
        <v>0.66700000000000004</v>
      </c>
      <c r="E23" s="18">
        <v>-1</v>
      </c>
      <c r="F23" s="702">
        <v>1</v>
      </c>
      <c r="G23" s="20">
        <v>3</v>
      </c>
      <c r="H23" s="20">
        <f t="shared" ref="H23" si="11">+D23</f>
        <v>0.66700000000000004</v>
      </c>
      <c r="I23" s="21"/>
      <c r="J23" s="22">
        <v>3</v>
      </c>
      <c r="K23" s="103">
        <f t="shared" ref="K23" si="12">+IF(D23=0.667,E23*F23*G23*H23*J23,0)</f>
        <v>-6.003000000000001</v>
      </c>
      <c r="L23" s="103">
        <f t="shared" ref="L23" si="13">+IF(D23=0.333,E23*F23*G23*J23,0)</f>
        <v>0</v>
      </c>
      <c r="M23" s="81">
        <v>4</v>
      </c>
      <c r="N23" s="103">
        <f t="shared" ref="N23" si="14">+IF(D23=0.667,E23*F23*G23*H23*M23,0)</f>
        <v>-8.0040000000000013</v>
      </c>
      <c r="O23" s="103">
        <f t="shared" ref="O23" si="15">+IF(D23=0.333,E23*F23*G23*M23,0)</f>
        <v>0</v>
      </c>
      <c r="P23" s="81"/>
      <c r="Q23" s="103">
        <f t="shared" ref="Q23" si="16">+IF(D23=0.667,E23*F23*G23*H23*P23,0)</f>
        <v>0</v>
      </c>
      <c r="R23" s="103">
        <f t="shared" ref="R23" si="17">+IF(D23=0.333,E23*F23*G23*P23,0)</f>
        <v>0</v>
      </c>
      <c r="S23" s="104">
        <f t="shared" si="10"/>
        <v>-14.007000000000001</v>
      </c>
      <c r="T23" s="104">
        <f t="shared" si="10"/>
        <v>0</v>
      </c>
      <c r="U23" s="18"/>
      <c r="V23" s="26"/>
      <c r="W23" s="21">
        <f>+G23+D23</f>
        <v>3.6669999999999998</v>
      </c>
      <c r="X23" s="21">
        <v>0.5</v>
      </c>
      <c r="Y23" s="21">
        <f>+IF(D23=0.667,-E23*F23*H23*W23*X23,0)</f>
        <v>1.2229445000000001</v>
      </c>
      <c r="Z23" s="21">
        <f>+IF(D23=0.333,-E23*F23*H23*W23*X23,0)</f>
        <v>0</v>
      </c>
      <c r="AA23" s="21">
        <f>+F23*G23*H23</f>
        <v>2.0010000000000003</v>
      </c>
      <c r="AB23" s="21">
        <f t="shared" ref="AB23" si="18">2*F23*W23*X23</f>
        <v>3.6669999999999998</v>
      </c>
      <c r="AC23" s="27"/>
      <c r="AD23" s="21"/>
      <c r="AE23" s="21"/>
      <c r="AF23" s="21"/>
      <c r="AG23" s="27"/>
      <c r="AH23" s="306"/>
      <c r="AI23" s="299"/>
      <c r="AK23" s="301">
        <f t="shared" si="0"/>
        <v>-3</v>
      </c>
      <c r="AL23" s="301">
        <f t="shared" si="1"/>
        <v>0</v>
      </c>
      <c r="AM23" s="301"/>
      <c r="AN23" s="301"/>
      <c r="AO23" s="299"/>
      <c r="AP23" s="301">
        <f t="shared" ref="AP23:AP27" si="19">+S23</f>
        <v>-14.007000000000001</v>
      </c>
      <c r="AQ23" s="301"/>
    </row>
    <row r="24" spans="2:43" ht="20.100000000000001" customHeight="1" x14ac:dyDescent="0.3">
      <c r="B24" s="92"/>
      <c r="C24" s="95" t="s">
        <v>31</v>
      </c>
      <c r="D24" s="98">
        <v>0.66700000000000004</v>
      </c>
      <c r="E24" s="92">
        <v>1</v>
      </c>
      <c r="F24" s="92">
        <v>1</v>
      </c>
      <c r="G24" s="98">
        <f>(3.52)*3.281</f>
        <v>11.54912</v>
      </c>
      <c r="H24" s="98">
        <f>+D24</f>
        <v>0.66700000000000004</v>
      </c>
      <c r="I24" s="94">
        <v>2</v>
      </c>
      <c r="J24" s="99">
        <v>3</v>
      </c>
      <c r="K24" s="100">
        <f>+IF(D24=0.667,E24*F24*G24*H24*J24,0)</f>
        <v>23.109789120000002</v>
      </c>
      <c r="L24" s="100">
        <f>+IF(D24=0.333,E24*F24*G24*J24,0)</f>
        <v>0</v>
      </c>
      <c r="M24" s="99">
        <v>4</v>
      </c>
      <c r="N24" s="100">
        <f>+IF(D24=0.667,E24*F24*G24*H24*M24,0)</f>
        <v>30.813052160000002</v>
      </c>
      <c r="O24" s="100">
        <f>+IF(D24=0.333,E24*F24*G24*M24,0)</f>
        <v>0</v>
      </c>
      <c r="P24" s="99">
        <f>12.5-I24-M24-J24</f>
        <v>3.5</v>
      </c>
      <c r="Q24" s="100">
        <f>+IF(D24=0.667,E24*F24*G24*H24*P24,0)</f>
        <v>26.96142064</v>
      </c>
      <c r="R24" s="100">
        <f>+IF(D24=0.333,E24*F24*G24*P24,0)</f>
        <v>0</v>
      </c>
      <c r="S24" s="101">
        <f t="shared" si="10"/>
        <v>80.88426192</v>
      </c>
      <c r="T24" s="101">
        <f t="shared" si="10"/>
        <v>0</v>
      </c>
      <c r="U24" s="92"/>
      <c r="V24" s="91"/>
      <c r="W24" s="102"/>
      <c r="X24" s="98"/>
      <c r="Y24" s="102"/>
      <c r="Z24" s="98"/>
      <c r="AA24" s="98"/>
      <c r="AB24" s="98"/>
      <c r="AC24" s="91"/>
      <c r="AD24" s="98"/>
      <c r="AE24" s="98"/>
      <c r="AF24" s="98"/>
      <c r="AG24" s="91"/>
      <c r="AH24" s="304">
        <v>1</v>
      </c>
      <c r="AI24" s="299">
        <f>+AH24*G24*D24*0.17</f>
        <v>1.3095547168000001</v>
      </c>
      <c r="AK24" s="301">
        <f t="shared" si="0"/>
        <v>11.54912</v>
      </c>
      <c r="AL24" s="301">
        <f t="shared" si="1"/>
        <v>0</v>
      </c>
      <c r="AM24" s="301"/>
      <c r="AN24" s="301"/>
      <c r="AO24" s="299"/>
      <c r="AP24" s="301">
        <f t="shared" si="19"/>
        <v>80.88426192</v>
      </c>
      <c r="AQ24" s="301"/>
    </row>
    <row r="25" spans="2:43" ht="20.100000000000001" customHeight="1" x14ac:dyDescent="0.3">
      <c r="B25" s="92"/>
      <c r="C25" s="95" t="s">
        <v>32</v>
      </c>
      <c r="D25" s="98">
        <v>0.66700000000000004</v>
      </c>
      <c r="E25" s="92">
        <v>1</v>
      </c>
      <c r="F25" s="92">
        <v>1</v>
      </c>
      <c r="G25" s="98">
        <f>(2.138)*3.281</f>
        <v>7.0147779999999997</v>
      </c>
      <c r="H25" s="98">
        <f>+D25</f>
        <v>0.66700000000000004</v>
      </c>
      <c r="I25" s="94">
        <v>2</v>
      </c>
      <c r="J25" s="99">
        <v>3</v>
      </c>
      <c r="K25" s="100">
        <f>+IF(D25=0.667,E25*F25*G25*H25*J25,0)</f>
        <v>14.036570778</v>
      </c>
      <c r="L25" s="100">
        <f>+IF(D25=0.333,E25*F25*G25*J25,0)</f>
        <v>0</v>
      </c>
      <c r="M25" s="99">
        <v>4</v>
      </c>
      <c r="N25" s="100">
        <f>+IF(D25=0.667,E25*F25*G25*H25*M25,0)</f>
        <v>18.715427704</v>
      </c>
      <c r="O25" s="100">
        <f>+IF(D25=0.333,E25*F25*G25*M25,0)</f>
        <v>0</v>
      </c>
      <c r="P25" s="99">
        <f>12.5-I25-M25-J25</f>
        <v>3.5</v>
      </c>
      <c r="Q25" s="100">
        <f>+IF(D25=0.667,E25*F25*G25*H25*P25,0)</f>
        <v>16.375999240999999</v>
      </c>
      <c r="R25" s="100">
        <f>+IF(D25=0.333,E25*F25*G25*P25,0)</f>
        <v>0</v>
      </c>
      <c r="S25" s="101">
        <f t="shared" ref="S25" si="20">+Q25+N25+K25</f>
        <v>49.127997722999993</v>
      </c>
      <c r="T25" s="101">
        <f t="shared" ref="T25" si="21">+R25+O25+L25</f>
        <v>0</v>
      </c>
      <c r="U25" s="92"/>
      <c r="V25" s="91"/>
      <c r="W25" s="102"/>
      <c r="X25" s="98"/>
      <c r="Y25" s="102"/>
      <c r="Z25" s="98"/>
      <c r="AA25" s="98"/>
      <c r="AB25" s="98"/>
      <c r="AC25" s="91"/>
      <c r="AD25" s="98"/>
      <c r="AE25" s="98"/>
      <c r="AF25" s="98"/>
      <c r="AG25" s="91"/>
      <c r="AH25" s="304">
        <v>1</v>
      </c>
      <c r="AI25" s="299">
        <f>+AH25*G25*D25*0.17</f>
        <v>0.79540567742000001</v>
      </c>
      <c r="AK25" s="301">
        <f t="shared" si="0"/>
        <v>7.0147779999999997</v>
      </c>
      <c r="AL25" s="301">
        <f t="shared" si="1"/>
        <v>0</v>
      </c>
      <c r="AM25" s="301"/>
      <c r="AN25" s="301"/>
      <c r="AO25" s="299"/>
      <c r="AP25" s="301">
        <f t="shared" si="19"/>
        <v>49.127997722999993</v>
      </c>
      <c r="AQ25" s="301"/>
    </row>
    <row r="26" spans="2:43" ht="20.100000000000001" customHeight="1" x14ac:dyDescent="0.3">
      <c r="B26" s="369"/>
      <c r="C26" s="370"/>
      <c r="D26" s="371"/>
      <c r="E26" s="369"/>
      <c r="F26" s="369"/>
      <c r="G26" s="371"/>
      <c r="H26" s="371"/>
      <c r="I26" s="372"/>
      <c r="J26" s="92"/>
      <c r="K26" s="92"/>
      <c r="L26" s="92"/>
      <c r="M26" s="92"/>
      <c r="N26" s="92"/>
      <c r="O26" s="92"/>
      <c r="P26" s="92"/>
      <c r="Q26" s="92"/>
      <c r="R26" s="92"/>
      <c r="S26" s="92"/>
      <c r="T26" s="92"/>
      <c r="U26" s="369"/>
      <c r="V26" s="373"/>
      <c r="W26" s="374"/>
      <c r="X26" s="371"/>
      <c r="Y26" s="374"/>
      <c r="Z26" s="371"/>
      <c r="AA26" s="371"/>
      <c r="AB26" s="371"/>
      <c r="AC26" s="373"/>
      <c r="AD26" s="371"/>
      <c r="AE26" s="371"/>
      <c r="AF26" s="371"/>
      <c r="AG26" s="373"/>
      <c r="AH26" s="375"/>
      <c r="AI26" s="374"/>
      <c r="AK26" s="301">
        <f t="shared" si="0"/>
        <v>0</v>
      </c>
      <c r="AL26" s="301">
        <f t="shared" si="1"/>
        <v>0</v>
      </c>
      <c r="AM26" s="378"/>
      <c r="AN26" s="378"/>
      <c r="AO26" s="374"/>
      <c r="AP26" s="378"/>
      <c r="AQ26" s="378"/>
    </row>
    <row r="27" spans="2:43" ht="20.100000000000001" customHeight="1" x14ac:dyDescent="0.3">
      <c r="B27" s="92"/>
      <c r="C27" s="97" t="s">
        <v>258</v>
      </c>
      <c r="D27" s="98"/>
      <c r="E27" s="92"/>
      <c r="F27" s="92"/>
      <c r="G27" s="98"/>
      <c r="H27" s="98"/>
      <c r="I27" s="94"/>
      <c r="J27" s="92"/>
      <c r="K27" s="92"/>
      <c r="L27" s="92"/>
      <c r="M27" s="92"/>
      <c r="N27" s="92"/>
      <c r="O27" s="92"/>
      <c r="P27" s="92"/>
      <c r="Q27" s="92"/>
      <c r="R27" s="92"/>
      <c r="S27" s="92"/>
      <c r="T27" s="92"/>
      <c r="U27" s="92"/>
      <c r="V27" s="91"/>
      <c r="W27" s="102"/>
      <c r="X27" s="98"/>
      <c r="Y27" s="102"/>
      <c r="Z27" s="98"/>
      <c r="AA27" s="98"/>
      <c r="AB27" s="98"/>
      <c r="AC27" s="91"/>
      <c r="AD27" s="98"/>
      <c r="AE27" s="98"/>
      <c r="AF27" s="98"/>
      <c r="AG27" s="91"/>
      <c r="AH27" s="305"/>
      <c r="AI27" s="299"/>
      <c r="AK27" s="301">
        <f t="shared" si="0"/>
        <v>0</v>
      </c>
      <c r="AL27" s="301">
        <f t="shared" si="1"/>
        <v>0</v>
      </c>
      <c r="AM27" s="301"/>
      <c r="AN27" s="301">
        <f>+IF(D27=0.333,1.33,0)</f>
        <v>0</v>
      </c>
      <c r="AO27" s="299"/>
      <c r="AP27" s="301">
        <f t="shared" si="19"/>
        <v>0</v>
      </c>
      <c r="AQ27" s="301"/>
    </row>
    <row r="28" spans="2:43" ht="20.100000000000001" customHeight="1" x14ac:dyDescent="0.3">
      <c r="B28" s="92"/>
      <c r="C28" s="95" t="s">
        <v>33</v>
      </c>
      <c r="D28" s="98">
        <v>0.66700000000000004</v>
      </c>
      <c r="E28" s="92">
        <v>1</v>
      </c>
      <c r="F28" s="92">
        <v>1</v>
      </c>
      <c r="G28" s="98">
        <f>+(2.135*3.281)</f>
        <v>7.0049349999999997</v>
      </c>
      <c r="H28" s="98">
        <f>+D28</f>
        <v>0.66700000000000004</v>
      </c>
      <c r="I28" s="94">
        <v>2</v>
      </c>
      <c r="J28" s="99">
        <v>3</v>
      </c>
      <c r="K28" s="100">
        <f>+IF(D28=0.667,E28*F28*G28*H28*J28,0)</f>
        <v>14.016874935000001</v>
      </c>
      <c r="L28" s="100">
        <f>+IF(D28=0.333,E28*F28*G28*J28,0)</f>
        <v>0</v>
      </c>
      <c r="M28" s="99">
        <v>4</v>
      </c>
      <c r="N28" s="100">
        <f>+IF(D28=0.667,E28*F28*G28*H28*M28,0)</f>
        <v>18.689166580000002</v>
      </c>
      <c r="O28" s="100">
        <f>+IF(D28=0.333,E28*F28*G28*M28,0)</f>
        <v>0</v>
      </c>
      <c r="P28" s="99">
        <f>12.5-I28-M28-J28</f>
        <v>3.5</v>
      </c>
      <c r="Q28" s="100">
        <f>+IF(D28=0.667,E28*F28*G28*H28*P28,0)</f>
        <v>16.353020757500001</v>
      </c>
      <c r="R28" s="100">
        <f>+IF(D28=0.333,E28*F28*G28*P28,0)</f>
        <v>0</v>
      </c>
      <c r="S28" s="101">
        <f t="shared" ref="S28:S30" si="22">+Q28+N28+K28</f>
        <v>49.0590622725</v>
      </c>
      <c r="T28" s="101">
        <f t="shared" ref="T28:T30" si="23">+R28+O28+L28</f>
        <v>0</v>
      </c>
      <c r="U28" s="92"/>
      <c r="V28" s="91"/>
      <c r="W28" s="102"/>
      <c r="X28" s="98"/>
      <c r="Y28" s="102"/>
      <c r="Z28" s="98"/>
      <c r="AA28" s="98"/>
      <c r="AB28" s="98"/>
      <c r="AC28" s="91"/>
      <c r="AD28" s="98"/>
      <c r="AE28" s="98"/>
      <c r="AF28" s="98"/>
      <c r="AG28" s="91"/>
      <c r="AH28" s="305">
        <v>1</v>
      </c>
      <c r="AI28" s="299">
        <f>+AH28*G28*D28*0.17</f>
        <v>0.79428957965000013</v>
      </c>
      <c r="AK28" s="301">
        <f t="shared" si="0"/>
        <v>7.0049349999999997</v>
      </c>
      <c r="AL28" s="301">
        <f t="shared" si="1"/>
        <v>0</v>
      </c>
      <c r="AM28" s="301"/>
      <c r="AN28" s="301">
        <f>+IF(D28=0.333,1.33,0)</f>
        <v>0</v>
      </c>
      <c r="AO28" s="299"/>
      <c r="AP28" s="301">
        <f>+S28</f>
        <v>49.0590622725</v>
      </c>
      <c r="AQ28" s="301"/>
    </row>
    <row r="29" spans="2:43" ht="20.100000000000001" customHeight="1" x14ac:dyDescent="0.3">
      <c r="B29" s="92"/>
      <c r="C29" s="95" t="s">
        <v>31</v>
      </c>
      <c r="D29" s="98">
        <v>0.66700000000000004</v>
      </c>
      <c r="E29" s="92">
        <v>1</v>
      </c>
      <c r="F29" s="92">
        <v>1</v>
      </c>
      <c r="G29" s="98">
        <f>(3.917)*3.281</f>
        <v>12.851677</v>
      </c>
      <c r="H29" s="98">
        <f>+D29</f>
        <v>0.66700000000000004</v>
      </c>
      <c r="I29" s="94">
        <v>2</v>
      </c>
      <c r="J29" s="99">
        <v>3</v>
      </c>
      <c r="K29" s="100">
        <f>+IF(D29=0.667,E29*F29*G29*H29*J29,0)</f>
        <v>25.716205677000005</v>
      </c>
      <c r="L29" s="100">
        <f>+IF(D29=0.333,E29*F29*G29*J29,0)</f>
        <v>0</v>
      </c>
      <c r="M29" s="99">
        <v>4</v>
      </c>
      <c r="N29" s="100">
        <f>+IF(D29=0.667,E29*F29*G29*H29*M29,0)</f>
        <v>34.288274236000007</v>
      </c>
      <c r="O29" s="100">
        <f>+IF(D29=0.333,E29*F29*G29*M29,0)</f>
        <v>0</v>
      </c>
      <c r="P29" s="99">
        <f>12.5-I29-M29-J29</f>
        <v>3.5</v>
      </c>
      <c r="Q29" s="100">
        <f>+IF(D29=0.667,E29*F29*G29*H29*P29,0)</f>
        <v>30.002239956500006</v>
      </c>
      <c r="R29" s="100">
        <f>+IF(D29=0.333,E29*F29*G29*P29,0)</f>
        <v>0</v>
      </c>
      <c r="S29" s="101">
        <f t="shared" si="22"/>
        <v>90.006719869500017</v>
      </c>
      <c r="T29" s="101">
        <f t="shared" si="23"/>
        <v>0</v>
      </c>
      <c r="U29" s="92"/>
      <c r="V29" s="91"/>
      <c r="W29" s="102"/>
      <c r="X29" s="98"/>
      <c r="Y29" s="102"/>
      <c r="Z29" s="98"/>
      <c r="AA29" s="98"/>
      <c r="AB29" s="98"/>
      <c r="AC29" s="91"/>
      <c r="AD29" s="98"/>
      <c r="AE29" s="98"/>
      <c r="AF29" s="98"/>
      <c r="AG29" s="91"/>
      <c r="AH29" s="304">
        <v>1</v>
      </c>
      <c r="AI29" s="299">
        <f>+AH29*G29*D29*0.17</f>
        <v>1.4572516550300003</v>
      </c>
      <c r="AK29" s="301">
        <f t="shared" si="0"/>
        <v>12.851677</v>
      </c>
      <c r="AL29" s="301">
        <f t="shared" si="1"/>
        <v>0</v>
      </c>
      <c r="AM29" s="301"/>
      <c r="AN29" s="301"/>
      <c r="AO29" s="299"/>
      <c r="AP29" s="301">
        <f t="shared" ref="AP29:AP30" si="24">+S29</f>
        <v>90.006719869500017</v>
      </c>
      <c r="AQ29" s="301"/>
    </row>
    <row r="30" spans="2:43" ht="20.100000000000001" customHeight="1" x14ac:dyDescent="0.3">
      <c r="B30" s="92"/>
      <c r="C30" s="95" t="s">
        <v>32</v>
      </c>
      <c r="D30" s="98">
        <v>0.66700000000000004</v>
      </c>
      <c r="E30" s="92">
        <v>1</v>
      </c>
      <c r="F30" s="92">
        <v>1</v>
      </c>
      <c r="G30" s="98">
        <f>(2.135)*3.281</f>
        <v>7.0049349999999997</v>
      </c>
      <c r="H30" s="98">
        <f>+D30</f>
        <v>0.66700000000000004</v>
      </c>
      <c r="I30" s="94">
        <v>2</v>
      </c>
      <c r="J30" s="99">
        <v>3</v>
      </c>
      <c r="K30" s="100">
        <f>+IF(D30=0.667,E30*F30*G30*H30*J30,0)</f>
        <v>14.016874935000001</v>
      </c>
      <c r="L30" s="100">
        <f>+IF(D30=0.333,E30*F30*G30*J30,0)</f>
        <v>0</v>
      </c>
      <c r="M30" s="99">
        <v>4</v>
      </c>
      <c r="N30" s="100">
        <f>+IF(D30=0.667,E30*F30*G30*H30*M30,0)</f>
        <v>18.689166580000002</v>
      </c>
      <c r="O30" s="100">
        <f>+IF(D30=0.333,E30*F30*G30*M30,0)</f>
        <v>0</v>
      </c>
      <c r="P30" s="99">
        <f>12.5-I30-M30-J30</f>
        <v>3.5</v>
      </c>
      <c r="Q30" s="100">
        <f>+IF(D30=0.667,E30*F30*G30*H30*P30,0)</f>
        <v>16.353020757500001</v>
      </c>
      <c r="R30" s="100">
        <f>+IF(D30=0.333,E30*F30*G30*P30,0)</f>
        <v>0</v>
      </c>
      <c r="S30" s="101">
        <f t="shared" si="22"/>
        <v>49.0590622725</v>
      </c>
      <c r="T30" s="101">
        <f t="shared" si="23"/>
        <v>0</v>
      </c>
      <c r="U30" s="92"/>
      <c r="V30" s="91"/>
      <c r="W30" s="102"/>
      <c r="X30" s="98"/>
      <c r="Y30" s="102"/>
      <c r="Z30" s="98"/>
      <c r="AA30" s="98"/>
      <c r="AB30" s="98"/>
      <c r="AC30" s="91"/>
      <c r="AD30" s="98"/>
      <c r="AE30" s="98"/>
      <c r="AF30" s="98"/>
      <c r="AG30" s="91"/>
      <c r="AH30" s="304">
        <v>1</v>
      </c>
      <c r="AI30" s="299">
        <f>+AH30*G30*D30*0.17</f>
        <v>0.79428957965000013</v>
      </c>
      <c r="AK30" s="301">
        <f t="shared" si="0"/>
        <v>7.0049349999999997</v>
      </c>
      <c r="AL30" s="301">
        <f t="shared" si="1"/>
        <v>0</v>
      </c>
      <c r="AM30" s="301"/>
      <c r="AN30" s="301"/>
      <c r="AO30" s="299"/>
      <c r="AP30" s="301">
        <f t="shared" si="24"/>
        <v>49.0590622725</v>
      </c>
      <c r="AQ30" s="301"/>
    </row>
    <row r="31" spans="2:43" ht="20.100000000000001" customHeight="1" x14ac:dyDescent="0.3">
      <c r="B31" s="92"/>
      <c r="C31" s="95"/>
      <c r="D31" s="98"/>
      <c r="E31" s="92"/>
      <c r="F31" s="92"/>
      <c r="G31" s="98"/>
      <c r="H31" s="98"/>
      <c r="I31" s="102"/>
      <c r="J31" s="92"/>
      <c r="K31" s="92"/>
      <c r="L31" s="92"/>
      <c r="M31" s="92"/>
      <c r="N31" s="92"/>
      <c r="O31" s="92"/>
      <c r="P31" s="92"/>
      <c r="Q31" s="92"/>
      <c r="R31" s="92"/>
      <c r="S31" s="92"/>
      <c r="T31" s="92"/>
      <c r="U31" s="92"/>
      <c r="V31" s="91"/>
      <c r="W31" s="98"/>
      <c r="X31" s="98"/>
      <c r="Y31" s="98"/>
      <c r="Z31" s="98"/>
      <c r="AA31" s="98"/>
      <c r="AB31" s="98"/>
      <c r="AC31" s="91"/>
      <c r="AD31" s="98"/>
      <c r="AE31" s="98"/>
      <c r="AF31" s="98"/>
      <c r="AG31" s="91"/>
      <c r="AH31" s="301"/>
      <c r="AI31" s="297"/>
      <c r="AK31" s="301">
        <f t="shared" si="0"/>
        <v>0</v>
      </c>
      <c r="AL31" s="301">
        <f t="shared" si="1"/>
        <v>0</v>
      </c>
      <c r="AM31" s="301"/>
      <c r="AN31" s="301"/>
      <c r="AO31" s="299">
        <f>+E31*F31*G31</f>
        <v>0</v>
      </c>
      <c r="AP31" s="301"/>
      <c r="AQ31" s="301"/>
    </row>
    <row r="32" spans="2:43" ht="26.25" customHeight="1" x14ac:dyDescent="0.3">
      <c r="B32" s="92">
        <v>2</v>
      </c>
      <c r="C32" s="93" t="s">
        <v>333</v>
      </c>
      <c r="D32" s="92"/>
      <c r="E32" s="92"/>
      <c r="F32" s="92"/>
      <c r="G32" s="92"/>
      <c r="H32" s="92"/>
      <c r="I32" s="94"/>
      <c r="J32" s="92"/>
      <c r="K32" s="92"/>
      <c r="L32" s="92"/>
      <c r="M32" s="92"/>
      <c r="N32" s="92"/>
      <c r="O32" s="92"/>
      <c r="P32" s="92"/>
      <c r="Q32" s="92"/>
      <c r="R32" s="92"/>
      <c r="S32" s="92"/>
      <c r="T32" s="92"/>
      <c r="U32" s="92"/>
      <c r="V32" s="95"/>
      <c r="W32" s="92"/>
      <c r="X32" s="92"/>
      <c r="Y32" s="92"/>
      <c r="Z32" s="92"/>
      <c r="AA32" s="92"/>
      <c r="AB32" s="92"/>
      <c r="AC32" s="95"/>
      <c r="AD32" s="92"/>
      <c r="AE32" s="92"/>
      <c r="AF32" s="92"/>
      <c r="AG32" s="95"/>
      <c r="AH32" s="304"/>
      <c r="AI32" s="301"/>
      <c r="AK32" s="301">
        <f t="shared" si="0"/>
        <v>0</v>
      </c>
      <c r="AL32" s="301">
        <f t="shared" si="1"/>
        <v>0</v>
      </c>
      <c r="AM32" s="301"/>
      <c r="AN32" s="301"/>
      <c r="AO32" s="299"/>
      <c r="AP32" s="301"/>
      <c r="AQ32" s="301"/>
    </row>
    <row r="33" spans="2:43" ht="20.100000000000001" customHeight="1" x14ac:dyDescent="0.3">
      <c r="B33" s="92"/>
      <c r="C33" s="96"/>
      <c r="D33" s="92"/>
      <c r="E33" s="92"/>
      <c r="F33" s="92"/>
      <c r="G33" s="92"/>
      <c r="H33" s="92"/>
      <c r="I33" s="94"/>
      <c r="J33" s="92"/>
      <c r="K33" s="92"/>
      <c r="L33" s="92"/>
      <c r="M33" s="92"/>
      <c r="N33" s="92"/>
      <c r="O33" s="92"/>
      <c r="P33" s="92"/>
      <c r="Q33" s="92"/>
      <c r="R33" s="92"/>
      <c r="S33" s="92"/>
      <c r="T33" s="92"/>
      <c r="U33" s="92"/>
      <c r="V33" s="95"/>
      <c r="W33" s="92"/>
      <c r="X33" s="92"/>
      <c r="Y33" s="92"/>
      <c r="Z33" s="92"/>
      <c r="AA33" s="92"/>
      <c r="AB33" s="92"/>
      <c r="AC33" s="95"/>
      <c r="AD33" s="92"/>
      <c r="AE33" s="92"/>
      <c r="AF33" s="92"/>
      <c r="AG33" s="95"/>
      <c r="AH33" s="305"/>
      <c r="AI33" s="306"/>
      <c r="AK33" s="301">
        <f t="shared" si="0"/>
        <v>0</v>
      </c>
      <c r="AL33" s="301">
        <f t="shared" si="1"/>
        <v>0</v>
      </c>
      <c r="AM33" s="301"/>
      <c r="AN33" s="301"/>
      <c r="AO33" s="299"/>
      <c r="AP33" s="301"/>
      <c r="AQ33" s="301"/>
    </row>
    <row r="34" spans="2:43" ht="20.100000000000001" customHeight="1" x14ac:dyDescent="0.3">
      <c r="B34" s="92"/>
      <c r="C34" s="97" t="s">
        <v>329</v>
      </c>
      <c r="D34" s="98"/>
      <c r="E34" s="92"/>
      <c r="F34" s="92"/>
      <c r="G34" s="98"/>
      <c r="H34" s="98"/>
      <c r="I34" s="94"/>
      <c r="J34" s="92"/>
      <c r="K34" s="92"/>
      <c r="L34" s="92"/>
      <c r="M34" s="92"/>
      <c r="N34" s="92"/>
      <c r="O34" s="92"/>
      <c r="P34" s="92"/>
      <c r="Q34" s="92"/>
      <c r="R34" s="92"/>
      <c r="S34" s="92"/>
      <c r="T34" s="92"/>
      <c r="U34" s="92"/>
      <c r="V34" s="91"/>
      <c r="W34" s="102"/>
      <c r="X34" s="98"/>
      <c r="Y34" s="102"/>
      <c r="Z34" s="98"/>
      <c r="AA34" s="98"/>
      <c r="AB34" s="98"/>
      <c r="AC34" s="91"/>
      <c r="AD34" s="98"/>
      <c r="AE34" s="98"/>
      <c r="AF34" s="98"/>
      <c r="AG34" s="91"/>
      <c r="AH34" s="304"/>
      <c r="AI34" s="299"/>
      <c r="AK34" s="301">
        <f t="shared" si="0"/>
        <v>0</v>
      </c>
      <c r="AL34" s="301">
        <f t="shared" si="1"/>
        <v>0</v>
      </c>
      <c r="AM34" s="301"/>
      <c r="AN34" s="301">
        <f>+IF(D34=0.333,1,0)</f>
        <v>0</v>
      </c>
      <c r="AO34" s="299"/>
      <c r="AP34" s="301"/>
      <c r="AQ34" s="301"/>
    </row>
    <row r="35" spans="2:43" ht="20.100000000000001" customHeight="1" x14ac:dyDescent="0.3">
      <c r="B35" s="92"/>
      <c r="C35" s="95" t="s">
        <v>33</v>
      </c>
      <c r="D35" s="98">
        <v>0.66700000000000004</v>
      </c>
      <c r="E35" s="92">
        <v>1</v>
      </c>
      <c r="F35" s="92">
        <v>1</v>
      </c>
      <c r="G35" s="98">
        <f>(7.83)*3.281</f>
        <v>25.69023</v>
      </c>
      <c r="H35" s="98">
        <f>+D35</f>
        <v>0.66700000000000004</v>
      </c>
      <c r="I35" s="94">
        <v>2</v>
      </c>
      <c r="J35" s="99">
        <v>3</v>
      </c>
      <c r="K35" s="100">
        <f>+IF(D35=0.667,E35*F35*G35*H35*J35,0)</f>
        <v>51.406150229999994</v>
      </c>
      <c r="L35" s="100">
        <f>+IF(D35=0.333,E35*F35*G35*J35,0)</f>
        <v>0</v>
      </c>
      <c r="M35" s="99">
        <v>4</v>
      </c>
      <c r="N35" s="100">
        <f>+IF(D35=0.667,E35*F35*G35*H35*M35,0)</f>
        <v>68.541533639999997</v>
      </c>
      <c r="O35" s="100">
        <f>+IF(D35=0.333,E35*F35*G35*M35,0)</f>
        <v>0</v>
      </c>
      <c r="P35" s="99">
        <f>12.5-I35-M35-J35</f>
        <v>3.5</v>
      </c>
      <c r="Q35" s="100">
        <f>+IF(D35=0.667,E35*F35*G35*H35*P35,0)</f>
        <v>59.973841934999996</v>
      </c>
      <c r="R35" s="100">
        <f>+IF(D35=0.333,E35*F35*G35*P35,0)</f>
        <v>0</v>
      </c>
      <c r="S35" s="101">
        <f t="shared" ref="S35:S38" si="25">+Q35+N35+K35</f>
        <v>179.92152580499999</v>
      </c>
      <c r="T35" s="101">
        <f t="shared" ref="T35:T38" si="26">+R35+O35+L35</f>
        <v>0</v>
      </c>
      <c r="U35" s="92"/>
      <c r="V35" s="91"/>
      <c r="W35" s="102"/>
      <c r="X35" s="98"/>
      <c r="Y35" s="102"/>
      <c r="Z35" s="98"/>
      <c r="AA35" s="98"/>
      <c r="AB35" s="98"/>
      <c r="AC35" s="91"/>
      <c r="AD35" s="98"/>
      <c r="AE35" s="98"/>
      <c r="AF35" s="98"/>
      <c r="AG35" s="91"/>
      <c r="AH35" s="304">
        <v>1</v>
      </c>
      <c r="AI35" s="299">
        <f>+AH35*G35*D35*0.17</f>
        <v>2.9130151796999999</v>
      </c>
      <c r="AK35" s="301">
        <f t="shared" si="0"/>
        <v>25.69023</v>
      </c>
      <c r="AL35" s="301">
        <f t="shared" si="1"/>
        <v>0</v>
      </c>
      <c r="AM35" s="301"/>
      <c r="AN35" s="301"/>
      <c r="AO35" s="299"/>
      <c r="AP35" s="301"/>
      <c r="AQ35" s="301"/>
    </row>
    <row r="36" spans="2:43" ht="20.100000000000001" customHeight="1" x14ac:dyDescent="0.3">
      <c r="B36" s="92"/>
      <c r="C36" s="95" t="s">
        <v>328</v>
      </c>
      <c r="D36" s="98">
        <v>0.66700000000000004</v>
      </c>
      <c r="E36" s="92">
        <v>-1</v>
      </c>
      <c r="F36" s="701">
        <v>1</v>
      </c>
      <c r="G36" s="98">
        <v>2.5</v>
      </c>
      <c r="H36" s="98">
        <f>+D36</f>
        <v>0.66700000000000004</v>
      </c>
      <c r="I36" s="102"/>
      <c r="J36" s="99">
        <v>3</v>
      </c>
      <c r="K36" s="100">
        <f>+IF(D36=0.667,E36*F36*G36*H36*J36,0)</f>
        <v>-5.0024999999999995</v>
      </c>
      <c r="L36" s="100">
        <f>+IF(D36=0.333,E36*F36*G36*J36,0)</f>
        <v>0</v>
      </c>
      <c r="M36" s="99">
        <v>4</v>
      </c>
      <c r="N36" s="100">
        <f>+IF(D36=0.667,E36*F36*G36*H36*M36,0)</f>
        <v>-6.67</v>
      </c>
      <c r="O36" s="100">
        <f>+IF(D36=0.333,E36*F36*G36*M36,0)</f>
        <v>0</v>
      </c>
      <c r="P36" s="99"/>
      <c r="Q36" s="100">
        <f>+IF(D36=0.667,E36*F36*G36*H36*P36,0)</f>
        <v>0</v>
      </c>
      <c r="R36" s="100">
        <f>+IF(D36=0.333,E36*F36*G36*P36,0)</f>
        <v>0</v>
      </c>
      <c r="S36" s="101">
        <f t="shared" si="25"/>
        <v>-11.672499999999999</v>
      </c>
      <c r="T36" s="101">
        <f t="shared" si="26"/>
        <v>0</v>
      </c>
      <c r="U36" s="92"/>
      <c r="V36" s="91"/>
      <c r="W36" s="98">
        <f>+G36+D36*2</f>
        <v>3.8340000000000001</v>
      </c>
      <c r="X36" s="98">
        <v>0.5</v>
      </c>
      <c r="Y36" s="98">
        <f>+IF(D36=0.667,-E36*F36*H36*W36*X36,0)</f>
        <v>1.2786390000000001</v>
      </c>
      <c r="Z36" s="98">
        <f>+IF(D36=0.333,-E36*F36*H36*W36*X36,0)</f>
        <v>0</v>
      </c>
      <c r="AA36" s="98">
        <f>+F36*G36*H36</f>
        <v>1.6675</v>
      </c>
      <c r="AB36" s="98">
        <f t="shared" ref="AB36" si="27">2*F36*W36*X36</f>
        <v>3.8340000000000001</v>
      </c>
      <c r="AC36" s="91"/>
      <c r="AD36" s="98"/>
      <c r="AE36" s="98">
        <f>+IF(D36=0.667,AD36*W36*H36*F36,0)</f>
        <v>0</v>
      </c>
      <c r="AF36" s="98">
        <f>+IF(D36=0.333,AD36*W36*H36*F36,0)</f>
        <v>0</v>
      </c>
      <c r="AG36" s="91"/>
      <c r="AH36" s="304"/>
      <c r="AI36" s="299">
        <f>+AH36*G36*D36*0.17</f>
        <v>0</v>
      </c>
      <c r="AK36" s="301">
        <f t="shared" si="0"/>
        <v>-2.5</v>
      </c>
      <c r="AL36" s="301">
        <f t="shared" si="1"/>
        <v>0</v>
      </c>
      <c r="AM36" s="315">
        <f>+IF(D36=0.667,1.33,0)</f>
        <v>1.33</v>
      </c>
      <c r="AN36" s="301"/>
      <c r="AO36" s="299"/>
      <c r="AP36" s="301"/>
      <c r="AQ36" s="301"/>
    </row>
    <row r="37" spans="2:43" ht="20.100000000000001" customHeight="1" x14ac:dyDescent="0.3">
      <c r="B37" s="92"/>
      <c r="C37" s="95" t="s">
        <v>31</v>
      </c>
      <c r="D37" s="98">
        <v>0.66700000000000004</v>
      </c>
      <c r="E37" s="92">
        <v>1</v>
      </c>
      <c r="F37" s="92">
        <v>1</v>
      </c>
      <c r="G37" s="98">
        <f>(2.86)*3.281</f>
        <v>9.3836600000000008</v>
      </c>
      <c r="H37" s="98">
        <f>+D37</f>
        <v>0.66700000000000004</v>
      </c>
      <c r="I37" s="94">
        <v>2</v>
      </c>
      <c r="J37" s="99">
        <v>3</v>
      </c>
      <c r="K37" s="100">
        <f>+IF(D37=0.667,E37*F37*G37*H37*J37,0)</f>
        <v>18.776703660000003</v>
      </c>
      <c r="L37" s="100">
        <f>+IF(D37=0.333,E37*F37*G37*J37,0)</f>
        <v>0</v>
      </c>
      <c r="M37" s="99">
        <v>4</v>
      </c>
      <c r="N37" s="100">
        <f>+IF(D37=0.667,E37*F37*G37*H37*M37,0)</f>
        <v>25.035604880000005</v>
      </c>
      <c r="O37" s="100">
        <f>+IF(D37=0.333,E37*F37*G37*M37,0)</f>
        <v>0</v>
      </c>
      <c r="P37" s="99">
        <f t="shared" ref="P37:P38" si="28">12.5-I37-M37-J37</f>
        <v>3.5</v>
      </c>
      <c r="Q37" s="100">
        <f>+IF(D37=0.667,E37*F37*G37*H37*P37,0)</f>
        <v>21.906154270000005</v>
      </c>
      <c r="R37" s="100">
        <f>+IF(D37=0.333,E37*F37*G37*P37,0)</f>
        <v>0</v>
      </c>
      <c r="S37" s="101">
        <f t="shared" si="25"/>
        <v>65.718462810000005</v>
      </c>
      <c r="T37" s="101">
        <f t="shared" si="26"/>
        <v>0</v>
      </c>
      <c r="U37" s="92"/>
      <c r="V37" s="91"/>
      <c r="W37" s="102"/>
      <c r="X37" s="98"/>
      <c r="Y37" s="102"/>
      <c r="Z37" s="98"/>
      <c r="AA37" s="98"/>
      <c r="AB37" s="98"/>
      <c r="AC37" s="91"/>
      <c r="AD37" s="98"/>
      <c r="AE37" s="98"/>
      <c r="AF37" s="98"/>
      <c r="AG37" s="91"/>
      <c r="AH37" s="304">
        <v>1</v>
      </c>
      <c r="AI37" s="299">
        <f>+AH37*G37*D37*0.17</f>
        <v>1.0640132074000004</v>
      </c>
      <c r="AK37" s="301">
        <f t="shared" si="0"/>
        <v>9.3836600000000008</v>
      </c>
      <c r="AL37" s="301">
        <f t="shared" si="1"/>
        <v>0</v>
      </c>
      <c r="AM37" s="301"/>
      <c r="AN37" s="301"/>
      <c r="AO37" s="299"/>
      <c r="AP37" s="301"/>
      <c r="AQ37" s="301"/>
    </row>
    <row r="38" spans="2:43" ht="20.100000000000001" customHeight="1" x14ac:dyDescent="0.3">
      <c r="B38" s="92"/>
      <c r="C38" s="95" t="s">
        <v>38</v>
      </c>
      <c r="D38" s="98">
        <v>0.66700000000000004</v>
      </c>
      <c r="E38" s="92">
        <v>1</v>
      </c>
      <c r="F38" s="92">
        <v>1</v>
      </c>
      <c r="G38" s="98">
        <f>(2.86)*3.281</f>
        <v>9.3836600000000008</v>
      </c>
      <c r="H38" s="98">
        <f>+D38</f>
        <v>0.66700000000000004</v>
      </c>
      <c r="I38" s="94">
        <v>2</v>
      </c>
      <c r="J38" s="99">
        <v>3</v>
      </c>
      <c r="K38" s="100">
        <f>+IF(D38=0.667,E38*F38*G38*H38*J38,0)</f>
        <v>18.776703660000003</v>
      </c>
      <c r="L38" s="100">
        <f>+IF(D38=0.333,E38*F38*G38*J38,0)</f>
        <v>0</v>
      </c>
      <c r="M38" s="99">
        <v>4</v>
      </c>
      <c r="N38" s="100">
        <f>+IF(D38=0.667,E38*F38*G38*H38*M38,0)</f>
        <v>25.035604880000005</v>
      </c>
      <c r="O38" s="100">
        <f>+IF(D38=0.333,E38*F38*G38*M38,0)</f>
        <v>0</v>
      </c>
      <c r="P38" s="99">
        <f t="shared" si="28"/>
        <v>3.5</v>
      </c>
      <c r="Q38" s="100">
        <f>+IF(D38=0.667,E38*F38*G38*H38*P38,0)</f>
        <v>21.906154270000005</v>
      </c>
      <c r="R38" s="100">
        <f>+IF(D38=0.333,E38*F38*G38*P38,0)</f>
        <v>0</v>
      </c>
      <c r="S38" s="101">
        <f t="shared" si="25"/>
        <v>65.718462810000005</v>
      </c>
      <c r="T38" s="101">
        <f t="shared" si="26"/>
        <v>0</v>
      </c>
      <c r="U38" s="92"/>
      <c r="V38" s="91"/>
      <c r="W38" s="102"/>
      <c r="X38" s="98"/>
      <c r="Y38" s="102"/>
      <c r="Z38" s="98"/>
      <c r="AA38" s="98"/>
      <c r="AB38" s="98"/>
      <c r="AC38" s="91"/>
      <c r="AD38" s="98"/>
      <c r="AE38" s="98"/>
      <c r="AF38" s="98"/>
      <c r="AG38" s="91"/>
      <c r="AH38" s="304">
        <v>1</v>
      </c>
      <c r="AI38" s="299">
        <f>+AH38*G38*D38*0.17</f>
        <v>1.0640132074000004</v>
      </c>
      <c r="AK38" s="301">
        <f t="shared" si="0"/>
        <v>9.3836600000000008</v>
      </c>
      <c r="AL38" s="301">
        <f t="shared" si="1"/>
        <v>0</v>
      </c>
      <c r="AM38" s="301"/>
      <c r="AN38" s="301"/>
      <c r="AO38" s="299"/>
      <c r="AP38" s="301"/>
      <c r="AQ38" s="301"/>
    </row>
    <row r="39" spans="2:43" ht="20.100000000000001" customHeight="1" x14ac:dyDescent="0.3">
      <c r="B39" s="92"/>
      <c r="C39" s="96"/>
      <c r="D39" s="92"/>
      <c r="E39" s="92"/>
      <c r="F39" s="92"/>
      <c r="G39" s="92"/>
      <c r="H39" s="92"/>
      <c r="I39" s="94"/>
      <c r="J39" s="92"/>
      <c r="K39" s="92"/>
      <c r="L39" s="92"/>
      <c r="M39" s="92"/>
      <c r="N39" s="92"/>
      <c r="O39" s="92"/>
      <c r="P39" s="92"/>
      <c r="Q39" s="92"/>
      <c r="R39" s="92"/>
      <c r="S39" s="92"/>
      <c r="T39" s="92"/>
      <c r="U39" s="92"/>
      <c r="V39" s="95"/>
      <c r="W39" s="92"/>
      <c r="X39" s="92"/>
      <c r="Y39" s="92"/>
      <c r="Z39" s="92"/>
      <c r="AA39" s="92"/>
      <c r="AB39" s="92"/>
      <c r="AC39" s="95"/>
      <c r="AD39" s="92"/>
      <c r="AE39" s="92"/>
      <c r="AF39" s="92"/>
      <c r="AG39" s="95"/>
      <c r="AH39" s="305"/>
      <c r="AI39" s="306"/>
      <c r="AK39" s="301">
        <f t="shared" si="0"/>
        <v>0</v>
      </c>
      <c r="AL39" s="301">
        <f t="shared" si="1"/>
        <v>0</v>
      </c>
      <c r="AM39" s="301"/>
      <c r="AN39" s="301"/>
      <c r="AO39" s="299"/>
      <c r="AP39" s="301"/>
      <c r="AQ39" s="301"/>
    </row>
    <row r="40" spans="2:43" ht="20.100000000000001" customHeight="1" x14ac:dyDescent="0.3">
      <c r="B40" s="92"/>
      <c r="C40" s="97" t="s">
        <v>330</v>
      </c>
      <c r="D40" s="98"/>
      <c r="E40" s="92"/>
      <c r="F40" s="92"/>
      <c r="G40" s="98"/>
      <c r="H40" s="98"/>
      <c r="I40" s="94"/>
      <c r="J40" s="92"/>
      <c r="K40" s="92"/>
      <c r="L40" s="92"/>
      <c r="M40" s="92"/>
      <c r="N40" s="92"/>
      <c r="O40" s="92"/>
      <c r="P40" s="92"/>
      <c r="Q40" s="92"/>
      <c r="R40" s="92"/>
      <c r="S40" s="92"/>
      <c r="T40" s="92"/>
      <c r="U40" s="92"/>
      <c r="V40" s="91"/>
      <c r="W40" s="102"/>
      <c r="X40" s="98"/>
      <c r="Y40" s="102"/>
      <c r="Z40" s="98"/>
      <c r="AA40" s="98"/>
      <c r="AB40" s="98"/>
      <c r="AC40" s="91"/>
      <c r="AD40" s="98"/>
      <c r="AE40" s="98"/>
      <c r="AF40" s="98"/>
      <c r="AG40" s="91"/>
      <c r="AH40" s="304"/>
      <c r="AI40" s="299"/>
      <c r="AK40" s="301">
        <f t="shared" si="0"/>
        <v>0</v>
      </c>
      <c r="AL40" s="301">
        <f t="shared" si="1"/>
        <v>0</v>
      </c>
      <c r="AM40" s="301">
        <v>0</v>
      </c>
      <c r="AN40" s="301"/>
      <c r="AO40" s="299"/>
      <c r="AP40" s="301"/>
      <c r="AQ40" s="301"/>
    </row>
    <row r="41" spans="2:43" ht="20.100000000000001" customHeight="1" x14ac:dyDescent="0.3">
      <c r="B41" s="92"/>
      <c r="C41" s="95" t="s">
        <v>31</v>
      </c>
      <c r="D41" s="98">
        <v>0.66700000000000004</v>
      </c>
      <c r="E41" s="92">
        <v>1</v>
      </c>
      <c r="F41" s="92">
        <v>1</v>
      </c>
      <c r="G41" s="98">
        <f>(3.369)*3.281</f>
        <v>11.053689</v>
      </c>
      <c r="H41" s="98">
        <f>+D41</f>
        <v>0.66700000000000004</v>
      </c>
      <c r="I41" s="94">
        <v>2</v>
      </c>
      <c r="J41" s="99">
        <v>3</v>
      </c>
      <c r="K41" s="100">
        <f>+IF(D41=0.667,E41*F41*G41*H41*J41,0)</f>
        <v>22.118431689000001</v>
      </c>
      <c r="L41" s="100">
        <f>+IF(D41=0.333,E41*F41*G41*J41,0)</f>
        <v>0</v>
      </c>
      <c r="M41" s="99">
        <v>4</v>
      </c>
      <c r="N41" s="100">
        <f>+IF(D41=0.667,E41*F41*G41*H41*M41,0)</f>
        <v>29.491242252000003</v>
      </c>
      <c r="O41" s="100">
        <f>+IF(D41=0.333,E41*F41*G41*M41,0)</f>
        <v>0</v>
      </c>
      <c r="P41" s="99">
        <f>12.5-I41-M41-J41</f>
        <v>3.5</v>
      </c>
      <c r="Q41" s="100">
        <f>+IF(D41=0.667,E41*F41*G41*H41*P41,0)</f>
        <v>25.804836970500002</v>
      </c>
      <c r="R41" s="100">
        <f>+IF(D41=0.333,E41*F41*G41*P41,0)</f>
        <v>0</v>
      </c>
      <c r="S41" s="101">
        <f t="shared" ref="S41:S43" si="29">+Q41+N41+K41</f>
        <v>77.414510911500003</v>
      </c>
      <c r="T41" s="101">
        <f t="shared" ref="T41:T43" si="30">+R41+O41+L41</f>
        <v>0</v>
      </c>
      <c r="U41" s="92"/>
      <c r="V41" s="91"/>
      <c r="W41" s="102"/>
      <c r="X41" s="98"/>
      <c r="Y41" s="102"/>
      <c r="Z41" s="98"/>
      <c r="AA41" s="98"/>
      <c r="AB41" s="98"/>
      <c r="AC41" s="91"/>
      <c r="AD41" s="98"/>
      <c r="AE41" s="98"/>
      <c r="AF41" s="98"/>
      <c r="AG41" s="91"/>
      <c r="AH41" s="304">
        <v>1</v>
      </c>
      <c r="AI41" s="299">
        <f>+AH41*G41*D41*0.17</f>
        <v>1.2533777957100003</v>
      </c>
      <c r="AK41" s="301">
        <f t="shared" si="0"/>
        <v>11.053689</v>
      </c>
      <c r="AL41" s="301">
        <f t="shared" si="1"/>
        <v>0</v>
      </c>
      <c r="AM41" s="301"/>
      <c r="AN41" s="301"/>
      <c r="AO41" s="299"/>
      <c r="AP41" s="301"/>
      <c r="AQ41" s="301"/>
    </row>
    <row r="42" spans="2:43" ht="20.100000000000001" customHeight="1" x14ac:dyDescent="0.3">
      <c r="B42" s="92"/>
      <c r="C42" s="95" t="s">
        <v>32</v>
      </c>
      <c r="D42" s="98">
        <v>0.66700000000000004</v>
      </c>
      <c r="E42" s="92">
        <v>1</v>
      </c>
      <c r="F42" s="92">
        <v>1</v>
      </c>
      <c r="G42" s="98">
        <f>(3.535)*3.281</f>
        <v>11.598335000000001</v>
      </c>
      <c r="H42" s="98">
        <f>+D42</f>
        <v>0.66700000000000004</v>
      </c>
      <c r="I42" s="94">
        <v>2</v>
      </c>
      <c r="J42" s="99">
        <v>3</v>
      </c>
      <c r="K42" s="100">
        <f>+IF(D42=0.667,E42*F42*G42*H42*J42,0)</f>
        <v>23.208268335000003</v>
      </c>
      <c r="L42" s="100">
        <f>+IF(D42=0.333,E42*F42*G42*J42,0)</f>
        <v>0</v>
      </c>
      <c r="M42" s="99">
        <v>4</v>
      </c>
      <c r="N42" s="100">
        <f>+IF(D42=0.667,E42*F42*G42*H42*M42,0)</f>
        <v>30.944357780000004</v>
      </c>
      <c r="O42" s="100">
        <f>+IF(D42=0.333,E42*F42*G42*M42,0)</f>
        <v>0</v>
      </c>
      <c r="P42" s="99">
        <f>12.5-I42-M42-J42</f>
        <v>3.5</v>
      </c>
      <c r="Q42" s="100">
        <f>+IF(D42=0.667,E42*F42*G42*H42*P42,0)</f>
        <v>27.076313057500002</v>
      </c>
      <c r="R42" s="100">
        <f>+IF(D42=0.333,E42*F42*G42*P42,0)</f>
        <v>0</v>
      </c>
      <c r="S42" s="101">
        <f t="shared" ref="S42" si="31">+Q42+N42+K42</f>
        <v>81.228939172500006</v>
      </c>
      <c r="T42" s="101">
        <f t="shared" ref="T42" si="32">+R42+O42+L42</f>
        <v>0</v>
      </c>
      <c r="U42" s="92"/>
      <c r="V42" s="91"/>
      <c r="W42" s="102"/>
      <c r="X42" s="98"/>
      <c r="Y42" s="102"/>
      <c r="Z42" s="98"/>
      <c r="AA42" s="98"/>
      <c r="AB42" s="98"/>
      <c r="AC42" s="91"/>
      <c r="AD42" s="98"/>
      <c r="AE42" s="98"/>
      <c r="AF42" s="98"/>
      <c r="AG42" s="91"/>
      <c r="AH42" s="304">
        <v>1</v>
      </c>
      <c r="AI42" s="299">
        <f>+AH42*G42*D42*0.17</f>
        <v>1.3151352056500003</v>
      </c>
      <c r="AK42" s="301">
        <f t="shared" si="0"/>
        <v>11.598335000000001</v>
      </c>
      <c r="AL42" s="301">
        <f t="shared" si="1"/>
        <v>0</v>
      </c>
      <c r="AM42" s="301"/>
      <c r="AN42" s="301"/>
      <c r="AO42" s="299"/>
      <c r="AP42" s="301"/>
      <c r="AQ42" s="301"/>
    </row>
    <row r="43" spans="2:43" ht="20.100000000000001" customHeight="1" x14ac:dyDescent="0.3">
      <c r="B43" s="92"/>
      <c r="C43" s="95" t="s">
        <v>38</v>
      </c>
      <c r="D43" s="98">
        <v>0.66700000000000004</v>
      </c>
      <c r="E43" s="92">
        <v>1</v>
      </c>
      <c r="F43" s="92">
        <v>1</v>
      </c>
      <c r="G43" s="98">
        <f>(2.97)*3.281</f>
        <v>9.7445700000000013</v>
      </c>
      <c r="H43" s="98">
        <f>+D43</f>
        <v>0.66700000000000004</v>
      </c>
      <c r="I43" s="94">
        <v>2</v>
      </c>
      <c r="J43" s="99">
        <v>3</v>
      </c>
      <c r="K43" s="100">
        <f>+IF(D43=0.667,E43*F43*G43*H43*J43,0)</f>
        <v>19.498884570000001</v>
      </c>
      <c r="L43" s="100">
        <f>+IF(D43=0.333,E43*F43*G43*J43,0)</f>
        <v>0</v>
      </c>
      <c r="M43" s="99">
        <v>4</v>
      </c>
      <c r="N43" s="100">
        <f>+IF(D43=0.667,E43*F43*G43*H43*M43,0)</f>
        <v>25.998512760000004</v>
      </c>
      <c r="O43" s="100">
        <f>+IF(D43=0.333,E43*F43*G43*M43,0)</f>
        <v>0</v>
      </c>
      <c r="P43" s="99">
        <f>12.5-I43-M43-J43</f>
        <v>3.5</v>
      </c>
      <c r="Q43" s="100">
        <f>+IF(D43=0.667,E43*F43*G43*H43*P43,0)</f>
        <v>22.748698665000003</v>
      </c>
      <c r="R43" s="100">
        <f>+IF(D43=0.333,E43*F43*G43*P43,0)</f>
        <v>0</v>
      </c>
      <c r="S43" s="101">
        <f t="shared" si="29"/>
        <v>68.246095995000005</v>
      </c>
      <c r="T43" s="101">
        <f t="shared" si="30"/>
        <v>0</v>
      </c>
      <c r="U43" s="92"/>
      <c r="V43" s="91"/>
      <c r="W43" s="102"/>
      <c r="X43" s="98"/>
      <c r="Y43" s="102"/>
      <c r="Z43" s="98"/>
      <c r="AA43" s="98"/>
      <c r="AB43" s="98"/>
      <c r="AC43" s="91"/>
      <c r="AD43" s="98"/>
      <c r="AE43" s="98"/>
      <c r="AF43" s="98"/>
      <c r="AG43" s="91"/>
      <c r="AH43" s="304">
        <v>1</v>
      </c>
      <c r="AI43" s="299">
        <f>+AH43*G43*D43*0.17</f>
        <v>1.1049367923000002</v>
      </c>
      <c r="AK43" s="301">
        <f t="shared" si="0"/>
        <v>9.7445700000000013</v>
      </c>
      <c r="AL43" s="301">
        <f t="shared" si="1"/>
        <v>0</v>
      </c>
      <c r="AM43" s="301"/>
      <c r="AN43" s="301"/>
      <c r="AO43" s="299"/>
      <c r="AP43" s="301"/>
      <c r="AQ43" s="301"/>
    </row>
    <row r="44" spans="2:43" ht="20.100000000000001" customHeight="1" x14ac:dyDescent="0.3">
      <c r="B44" s="92"/>
      <c r="C44" s="96"/>
      <c r="D44" s="92"/>
      <c r="E44" s="92"/>
      <c r="F44" s="92"/>
      <c r="G44" s="92"/>
      <c r="H44" s="92"/>
      <c r="I44" s="94"/>
      <c r="J44" s="92"/>
      <c r="K44" s="92"/>
      <c r="L44" s="92"/>
      <c r="M44" s="92"/>
      <c r="N44" s="92"/>
      <c r="O44" s="92"/>
      <c r="P44" s="92"/>
      <c r="Q44" s="92"/>
      <c r="R44" s="92"/>
      <c r="S44" s="92"/>
      <c r="T44" s="92"/>
      <c r="U44" s="92"/>
      <c r="V44" s="95"/>
      <c r="W44" s="92"/>
      <c r="X44" s="92"/>
      <c r="Y44" s="92"/>
      <c r="Z44" s="92"/>
      <c r="AA44" s="92"/>
      <c r="AB44" s="92"/>
      <c r="AC44" s="95"/>
      <c r="AD44" s="92"/>
      <c r="AE44" s="92"/>
      <c r="AF44" s="92"/>
      <c r="AG44" s="95"/>
      <c r="AH44" s="305"/>
      <c r="AI44" s="306"/>
      <c r="AK44" s="301">
        <f t="shared" si="0"/>
        <v>0</v>
      </c>
      <c r="AL44" s="301">
        <f t="shared" si="1"/>
        <v>0</v>
      </c>
      <c r="AM44" s="301"/>
      <c r="AN44" s="301"/>
      <c r="AO44" s="299"/>
      <c r="AP44" s="301"/>
      <c r="AQ44" s="301"/>
    </row>
    <row r="45" spans="2:43" ht="20.100000000000001" customHeight="1" x14ac:dyDescent="0.3">
      <c r="B45" s="92"/>
      <c r="C45" s="97" t="s">
        <v>332</v>
      </c>
      <c r="D45" s="98"/>
      <c r="E45" s="92"/>
      <c r="F45" s="92"/>
      <c r="G45" s="98"/>
      <c r="H45" s="98"/>
      <c r="I45" s="94"/>
      <c r="J45" s="92"/>
      <c r="K45" s="92"/>
      <c r="L45" s="92"/>
      <c r="M45" s="92"/>
      <c r="N45" s="92"/>
      <c r="O45" s="92"/>
      <c r="P45" s="92"/>
      <c r="Q45" s="92"/>
      <c r="R45" s="92"/>
      <c r="S45" s="92"/>
      <c r="T45" s="92"/>
      <c r="U45" s="92"/>
      <c r="V45" s="91"/>
      <c r="W45" s="102"/>
      <c r="X45" s="98"/>
      <c r="Y45" s="102"/>
      <c r="Z45" s="98"/>
      <c r="AA45" s="98"/>
      <c r="AB45" s="98"/>
      <c r="AC45" s="91"/>
      <c r="AD45" s="98"/>
      <c r="AE45" s="98"/>
      <c r="AF45" s="98"/>
      <c r="AG45" s="91"/>
      <c r="AH45" s="305"/>
      <c r="AI45" s="299"/>
      <c r="AK45" s="301">
        <f t="shared" si="0"/>
        <v>0</v>
      </c>
      <c r="AL45" s="301">
        <f t="shared" si="1"/>
        <v>0</v>
      </c>
      <c r="AM45" s="301"/>
      <c r="AN45" s="301">
        <f>+IF(D45=0.333,1.33,0)</f>
        <v>0</v>
      </c>
      <c r="AO45" s="299"/>
      <c r="AP45" s="301"/>
      <c r="AQ45" s="301"/>
    </row>
    <row r="46" spans="2:43" ht="20.100000000000001" customHeight="1" x14ac:dyDescent="0.3">
      <c r="B46" s="92"/>
      <c r="C46" s="95" t="s">
        <v>33</v>
      </c>
      <c r="D46" s="98">
        <v>0.66700000000000004</v>
      </c>
      <c r="E46" s="92">
        <v>1</v>
      </c>
      <c r="F46" s="92">
        <v>1</v>
      </c>
      <c r="G46" s="98">
        <f>+(2.135*3.281)</f>
        <v>7.0049349999999997</v>
      </c>
      <c r="H46" s="98">
        <f>+D46</f>
        <v>0.66700000000000004</v>
      </c>
      <c r="I46" s="94">
        <v>2</v>
      </c>
      <c r="J46" s="99">
        <v>3</v>
      </c>
      <c r="K46" s="100">
        <f>+IF(D46=0.667,E46*F46*G46*H46*J46,0)</f>
        <v>14.016874935000001</v>
      </c>
      <c r="L46" s="100">
        <f>+IF(D46=0.333,E46*F46*G46*J46,0)</f>
        <v>0</v>
      </c>
      <c r="M46" s="99">
        <v>4</v>
      </c>
      <c r="N46" s="100">
        <f>+IF(D46=0.667,E46*F46*G46*H46*M46,0)</f>
        <v>18.689166580000002</v>
      </c>
      <c r="O46" s="100">
        <f>+IF(D46=0.333,E46*F46*G46*M46,0)</f>
        <v>0</v>
      </c>
      <c r="P46" s="99">
        <f>12.5-I46-M46-J46</f>
        <v>3.5</v>
      </c>
      <c r="Q46" s="100">
        <f>+IF(D46=0.667,E46*F46*G46*H46*P46,0)</f>
        <v>16.353020757500001</v>
      </c>
      <c r="R46" s="100">
        <f>+IF(D46=0.333,E46*F46*G46*P46,0)</f>
        <v>0</v>
      </c>
      <c r="S46" s="101">
        <f t="shared" ref="S46:S49" si="33">+Q46+N46+K46</f>
        <v>49.0590622725</v>
      </c>
      <c r="T46" s="101">
        <f t="shared" ref="T46:T49" si="34">+R46+O46+L46</f>
        <v>0</v>
      </c>
      <c r="U46" s="92"/>
      <c r="V46" s="91"/>
      <c r="W46" s="102"/>
      <c r="X46" s="98"/>
      <c r="Y46" s="102"/>
      <c r="Z46" s="98"/>
      <c r="AA46" s="98"/>
      <c r="AB46" s="98"/>
      <c r="AC46" s="91"/>
      <c r="AD46" s="98"/>
      <c r="AE46" s="98"/>
      <c r="AF46" s="98"/>
      <c r="AG46" s="91"/>
      <c r="AH46" s="305">
        <v>1</v>
      </c>
      <c r="AI46" s="299">
        <f>+AH46*G46*D46*0.17</f>
        <v>0.79428957965000013</v>
      </c>
      <c r="AK46" s="301">
        <f t="shared" si="0"/>
        <v>7.0049349999999997</v>
      </c>
      <c r="AL46" s="301">
        <f t="shared" si="1"/>
        <v>0</v>
      </c>
      <c r="AM46" s="301"/>
      <c r="AN46" s="301">
        <f>+IF(D46=0.333,1.33,0)</f>
        <v>0</v>
      </c>
      <c r="AO46" s="299"/>
      <c r="AP46" s="301">
        <f t="shared" ref="AP46:AP49" si="35">+S46</f>
        <v>49.0590622725</v>
      </c>
      <c r="AQ46" s="301"/>
    </row>
    <row r="47" spans="2:43" ht="20.100000000000001" customHeight="1" x14ac:dyDescent="0.3">
      <c r="B47" s="18"/>
      <c r="C47" s="62" t="s">
        <v>130</v>
      </c>
      <c r="D47" s="98">
        <v>0.66700000000000004</v>
      </c>
      <c r="E47" s="18">
        <v>-1</v>
      </c>
      <c r="F47" s="702">
        <v>1</v>
      </c>
      <c r="G47" s="20">
        <v>3</v>
      </c>
      <c r="H47" s="20">
        <f t="shared" ref="H47" si="36">+D47</f>
        <v>0.66700000000000004</v>
      </c>
      <c r="I47" s="21"/>
      <c r="J47" s="22">
        <v>3</v>
      </c>
      <c r="K47" s="103">
        <f t="shared" ref="K47" si="37">+IF(D47=0.667,E47*F47*G47*H47*J47,0)</f>
        <v>-6.003000000000001</v>
      </c>
      <c r="L47" s="103">
        <f t="shared" ref="L47" si="38">+IF(D47=0.333,E47*F47*G47*J47,0)</f>
        <v>0</v>
      </c>
      <c r="M47" s="81">
        <v>4</v>
      </c>
      <c r="N47" s="103">
        <f t="shared" ref="N47" si="39">+IF(D47=0.667,E47*F47*G47*H47*M47,0)</f>
        <v>-8.0040000000000013</v>
      </c>
      <c r="O47" s="103">
        <f t="shared" ref="O47" si="40">+IF(D47=0.333,E47*F47*G47*M47,0)</f>
        <v>0</v>
      </c>
      <c r="P47" s="81"/>
      <c r="Q47" s="103">
        <f t="shared" ref="Q47" si="41">+IF(D47=0.667,E47*F47*G47*H47*P47,0)</f>
        <v>0</v>
      </c>
      <c r="R47" s="103">
        <f t="shared" ref="R47" si="42">+IF(D47=0.333,E47*F47*G47*P47,0)</f>
        <v>0</v>
      </c>
      <c r="S47" s="104">
        <f t="shared" si="33"/>
        <v>-14.007000000000001</v>
      </c>
      <c r="T47" s="104">
        <f t="shared" si="34"/>
        <v>0</v>
      </c>
      <c r="U47" s="18"/>
      <c r="V47" s="26"/>
      <c r="W47" s="21">
        <f>+G47+D47</f>
        <v>3.6669999999999998</v>
      </c>
      <c r="X47" s="21">
        <v>0.5</v>
      </c>
      <c r="Y47" s="21">
        <f>+IF(D47=0.667,-E47*F47*H47*W47*X47,0)</f>
        <v>1.2229445000000001</v>
      </c>
      <c r="Z47" s="21">
        <f>+IF(D47=0.333,-E47*F47*H47*W47*X47,0)</f>
        <v>0</v>
      </c>
      <c r="AA47" s="21">
        <f>+F47*G47*H47</f>
        <v>2.0010000000000003</v>
      </c>
      <c r="AB47" s="21">
        <f t="shared" ref="AB47" si="43">2*F47*W47*X47</f>
        <v>3.6669999999999998</v>
      </c>
      <c r="AC47" s="27"/>
      <c r="AD47" s="21"/>
      <c r="AE47" s="21"/>
      <c r="AF47" s="21"/>
      <c r="AG47" s="27"/>
      <c r="AH47" s="306"/>
      <c r="AI47" s="299"/>
      <c r="AK47" s="301">
        <f t="shared" si="0"/>
        <v>-3</v>
      </c>
      <c r="AL47" s="301">
        <f t="shared" si="1"/>
        <v>0</v>
      </c>
      <c r="AM47" s="301"/>
      <c r="AN47" s="301"/>
      <c r="AO47" s="299"/>
      <c r="AP47" s="301">
        <f t="shared" si="35"/>
        <v>-14.007000000000001</v>
      </c>
      <c r="AQ47" s="301"/>
    </row>
    <row r="48" spans="2:43" ht="20.100000000000001" customHeight="1" x14ac:dyDescent="0.3">
      <c r="B48" s="92"/>
      <c r="C48" s="95" t="s">
        <v>32</v>
      </c>
      <c r="D48" s="98">
        <v>0.66700000000000004</v>
      </c>
      <c r="E48" s="92">
        <v>1</v>
      </c>
      <c r="F48" s="92">
        <v>1</v>
      </c>
      <c r="G48" s="98">
        <f>(2.135)*3.281</f>
        <v>7.0049349999999997</v>
      </c>
      <c r="H48" s="98">
        <f>+D48</f>
        <v>0.66700000000000004</v>
      </c>
      <c r="I48" s="94">
        <v>2</v>
      </c>
      <c r="J48" s="99">
        <v>3</v>
      </c>
      <c r="K48" s="100">
        <f>+IF(D48=0.667,E48*F48*G48*H48*J48,0)</f>
        <v>14.016874935000001</v>
      </c>
      <c r="L48" s="100">
        <f>+IF(D48=0.333,E48*F48*G48*J48,0)</f>
        <v>0</v>
      </c>
      <c r="M48" s="99">
        <v>4</v>
      </c>
      <c r="N48" s="100">
        <f>+IF(D48=0.667,E48*F48*G48*H48*M48,0)</f>
        <v>18.689166580000002</v>
      </c>
      <c r="O48" s="100">
        <f>+IF(D48=0.333,E48*F48*G48*M48,0)</f>
        <v>0</v>
      </c>
      <c r="P48" s="99">
        <f>12.5-I48-M48-J48</f>
        <v>3.5</v>
      </c>
      <c r="Q48" s="100">
        <f>+IF(D48=0.667,E48*F48*G48*H48*P48,0)</f>
        <v>16.353020757500001</v>
      </c>
      <c r="R48" s="100">
        <f>+IF(D48=0.333,E48*F48*G48*P48,0)</f>
        <v>0</v>
      </c>
      <c r="S48" s="101">
        <f t="shared" si="33"/>
        <v>49.0590622725</v>
      </c>
      <c r="T48" s="101">
        <f t="shared" si="34"/>
        <v>0</v>
      </c>
      <c r="U48" s="92"/>
      <c r="V48" s="91"/>
      <c r="W48" s="102"/>
      <c r="X48" s="98"/>
      <c r="Y48" s="102"/>
      <c r="Z48" s="98"/>
      <c r="AA48" s="98"/>
      <c r="AB48" s="98"/>
      <c r="AC48" s="91"/>
      <c r="AD48" s="98"/>
      <c r="AE48" s="98"/>
      <c r="AF48" s="98"/>
      <c r="AG48" s="91"/>
      <c r="AH48" s="304">
        <v>1</v>
      </c>
      <c r="AI48" s="299">
        <f>+AH48*G48*D48*0.17</f>
        <v>0.79428957965000013</v>
      </c>
      <c r="AK48" s="301">
        <f t="shared" si="0"/>
        <v>7.0049349999999997</v>
      </c>
      <c r="AL48" s="301">
        <f t="shared" si="1"/>
        <v>0</v>
      </c>
      <c r="AM48" s="301"/>
      <c r="AN48" s="301"/>
      <c r="AO48" s="299"/>
      <c r="AP48" s="301">
        <f t="shared" si="35"/>
        <v>49.0590622725</v>
      </c>
      <c r="AQ48" s="301"/>
    </row>
    <row r="49" spans="2:43" ht="20.100000000000001" customHeight="1" x14ac:dyDescent="0.3">
      <c r="B49" s="92"/>
      <c r="C49" s="95" t="s">
        <v>38</v>
      </c>
      <c r="D49" s="98">
        <v>0.66700000000000004</v>
      </c>
      <c r="E49" s="92">
        <v>1</v>
      </c>
      <c r="F49" s="92">
        <v>1</v>
      </c>
      <c r="G49" s="98">
        <f>(2.55)*3.281</f>
        <v>8.3665500000000002</v>
      </c>
      <c r="H49" s="98">
        <f>+D49</f>
        <v>0.66700000000000004</v>
      </c>
      <c r="I49" s="94">
        <v>2</v>
      </c>
      <c r="J49" s="99">
        <v>3</v>
      </c>
      <c r="K49" s="100">
        <f>+IF(D49=0.667,E49*F49*G49*H49*J49,0)</f>
        <v>16.741466549999998</v>
      </c>
      <c r="L49" s="100">
        <f>+IF(D49=0.333,E49*F49*G49*J49,0)</f>
        <v>0</v>
      </c>
      <c r="M49" s="99">
        <v>4</v>
      </c>
      <c r="N49" s="100">
        <f>+IF(D49=0.667,E49*F49*G49*H49*M49,0)</f>
        <v>22.3219554</v>
      </c>
      <c r="O49" s="100">
        <f>+IF(D49=0.333,E49*F49*G49*M49,0)</f>
        <v>0</v>
      </c>
      <c r="P49" s="99">
        <f>12.5-I49-M49-J49</f>
        <v>3.5</v>
      </c>
      <c r="Q49" s="100">
        <f>+IF(D49=0.667,E49*F49*G49*H49*P49,0)</f>
        <v>19.531710974999999</v>
      </c>
      <c r="R49" s="100">
        <f>+IF(D49=0.333,E49*F49*G49*P49,0)</f>
        <v>0</v>
      </c>
      <c r="S49" s="101">
        <f t="shared" si="33"/>
        <v>58.595132925000001</v>
      </c>
      <c r="T49" s="101">
        <f t="shared" si="34"/>
        <v>0</v>
      </c>
      <c r="U49" s="92"/>
      <c r="V49" s="91"/>
      <c r="W49" s="102"/>
      <c r="X49" s="98"/>
      <c r="Y49" s="102"/>
      <c r="Z49" s="98"/>
      <c r="AA49" s="98"/>
      <c r="AB49" s="98"/>
      <c r="AC49" s="91"/>
      <c r="AD49" s="98"/>
      <c r="AE49" s="98"/>
      <c r="AF49" s="98"/>
      <c r="AG49" s="91"/>
      <c r="AH49" s="304">
        <v>1</v>
      </c>
      <c r="AI49" s="299">
        <f>+AH49*G49*D49*0.17</f>
        <v>0.94868310450000004</v>
      </c>
      <c r="AK49" s="301">
        <f t="shared" si="0"/>
        <v>8.3665500000000002</v>
      </c>
      <c r="AL49" s="301">
        <f t="shared" si="1"/>
        <v>0</v>
      </c>
      <c r="AM49" s="301"/>
      <c r="AN49" s="301"/>
      <c r="AO49" s="299"/>
      <c r="AP49" s="301">
        <f t="shared" si="35"/>
        <v>58.595132925000001</v>
      </c>
      <c r="AQ49" s="301"/>
    </row>
    <row r="50" spans="2:43" ht="20.100000000000001" customHeight="1" x14ac:dyDescent="0.3">
      <c r="B50" s="92"/>
      <c r="C50" s="97" t="s">
        <v>258</v>
      </c>
      <c r="D50" s="98"/>
      <c r="E50" s="92"/>
      <c r="F50" s="92"/>
      <c r="G50" s="98"/>
      <c r="H50" s="98"/>
      <c r="I50" s="94"/>
      <c r="J50" s="92"/>
      <c r="K50" s="92"/>
      <c r="L50" s="92"/>
      <c r="M50" s="92"/>
      <c r="N50" s="92"/>
      <c r="O50" s="92"/>
      <c r="P50" s="92"/>
      <c r="Q50" s="92"/>
      <c r="R50" s="92"/>
      <c r="S50" s="92"/>
      <c r="T50" s="92"/>
      <c r="U50" s="92"/>
      <c r="V50" s="91"/>
      <c r="W50" s="102"/>
      <c r="X50" s="98"/>
      <c r="Y50" s="102"/>
      <c r="Z50" s="98"/>
      <c r="AA50" s="98"/>
      <c r="AB50" s="98"/>
      <c r="AC50" s="91"/>
      <c r="AD50" s="98"/>
      <c r="AE50" s="98"/>
      <c r="AF50" s="98"/>
      <c r="AG50" s="91"/>
      <c r="AH50" s="305"/>
      <c r="AI50" s="299"/>
      <c r="AK50" s="301">
        <f t="shared" si="0"/>
        <v>0</v>
      </c>
      <c r="AL50" s="301">
        <f t="shared" si="1"/>
        <v>0</v>
      </c>
      <c r="AM50" s="301"/>
      <c r="AN50" s="301">
        <f>+IF(D50=0.333,1.33,0)</f>
        <v>0</v>
      </c>
      <c r="AO50" s="299"/>
      <c r="AP50" s="301">
        <f t="shared" ref="AP50:AP53" si="44">+S50</f>
        <v>0</v>
      </c>
      <c r="AQ50" s="301"/>
    </row>
    <row r="51" spans="2:43" ht="20.100000000000001" customHeight="1" x14ac:dyDescent="0.3">
      <c r="B51" s="92"/>
      <c r="C51" s="95" t="s">
        <v>33</v>
      </c>
      <c r="D51" s="98">
        <v>0.66700000000000004</v>
      </c>
      <c r="E51" s="92">
        <v>1</v>
      </c>
      <c r="F51" s="92">
        <v>1</v>
      </c>
      <c r="G51" s="98">
        <f>+(2.135*3.281)</f>
        <v>7.0049349999999997</v>
      </c>
      <c r="H51" s="98">
        <f>+D51</f>
        <v>0.66700000000000004</v>
      </c>
      <c r="I51" s="94">
        <v>2</v>
      </c>
      <c r="J51" s="99">
        <v>3</v>
      </c>
      <c r="K51" s="100">
        <f>+IF(D51=0.667,E51*F51*G51*H51*J51,0)</f>
        <v>14.016874935000001</v>
      </c>
      <c r="L51" s="100">
        <f>+IF(D51=0.333,E51*F51*G51*J51,0)</f>
        <v>0</v>
      </c>
      <c r="M51" s="99">
        <v>4</v>
      </c>
      <c r="N51" s="100">
        <f>+IF(D51=0.667,E51*F51*G51*H51*M51,0)</f>
        <v>18.689166580000002</v>
      </c>
      <c r="O51" s="100">
        <f>+IF(D51=0.333,E51*F51*G51*M51,0)</f>
        <v>0</v>
      </c>
      <c r="P51" s="99">
        <f>12.5-I51-M51-J51</f>
        <v>3.5</v>
      </c>
      <c r="Q51" s="100">
        <f>+IF(D51=0.667,E51*F51*G51*H51*P51,0)</f>
        <v>16.353020757500001</v>
      </c>
      <c r="R51" s="100">
        <f>+IF(D51=0.333,E51*F51*G51*P51,0)</f>
        <v>0</v>
      </c>
      <c r="S51" s="101">
        <f t="shared" ref="S51:S53" si="45">+Q51+N51+K51</f>
        <v>49.0590622725</v>
      </c>
      <c r="T51" s="101">
        <f t="shared" ref="T51:T53" si="46">+R51+O51+L51</f>
        <v>0</v>
      </c>
      <c r="U51" s="92"/>
      <c r="V51" s="91"/>
      <c r="W51" s="102"/>
      <c r="X51" s="98"/>
      <c r="Y51" s="102"/>
      <c r="Z51" s="98"/>
      <c r="AA51" s="98"/>
      <c r="AB51" s="98"/>
      <c r="AC51" s="91"/>
      <c r="AD51" s="98"/>
      <c r="AE51" s="98"/>
      <c r="AF51" s="98"/>
      <c r="AG51" s="91"/>
      <c r="AH51" s="305">
        <v>1</v>
      </c>
      <c r="AI51" s="299">
        <f>+AH51*G51*D51*0.17</f>
        <v>0.79428957965000013</v>
      </c>
      <c r="AK51" s="301">
        <f t="shared" si="0"/>
        <v>7.0049349999999997</v>
      </c>
      <c r="AL51" s="301">
        <f t="shared" si="1"/>
        <v>0</v>
      </c>
      <c r="AM51" s="301"/>
      <c r="AN51" s="301">
        <f>+IF(D51=0.333,1.33,0)</f>
        <v>0</v>
      </c>
      <c r="AO51" s="299"/>
      <c r="AP51" s="301">
        <f t="shared" si="44"/>
        <v>49.0590622725</v>
      </c>
      <c r="AQ51" s="301"/>
    </row>
    <row r="52" spans="2:43" ht="20.100000000000001" customHeight="1" x14ac:dyDescent="0.3">
      <c r="B52" s="92"/>
      <c r="C52" s="95" t="s">
        <v>38</v>
      </c>
      <c r="D52" s="98">
        <v>0.66700000000000004</v>
      </c>
      <c r="E52" s="92">
        <v>1</v>
      </c>
      <c r="F52" s="92">
        <v>1</v>
      </c>
      <c r="G52" s="98">
        <f>(2.55)*3.281</f>
        <v>8.3665500000000002</v>
      </c>
      <c r="H52" s="98">
        <f>+D52</f>
        <v>0.66700000000000004</v>
      </c>
      <c r="I52" s="94">
        <v>2</v>
      </c>
      <c r="J52" s="99">
        <v>3</v>
      </c>
      <c r="K52" s="100">
        <f>+IF(D52=0.667,E52*F52*G52*H52*J52,0)</f>
        <v>16.741466549999998</v>
      </c>
      <c r="L52" s="100">
        <f>+IF(D52=0.333,E52*F52*G52*J52,0)</f>
        <v>0</v>
      </c>
      <c r="M52" s="99">
        <v>4</v>
      </c>
      <c r="N52" s="100">
        <f>+IF(D52=0.667,E52*F52*G52*H52*M52,0)</f>
        <v>22.3219554</v>
      </c>
      <c r="O52" s="100">
        <f>+IF(D52=0.333,E52*F52*G52*M52,0)</f>
        <v>0</v>
      </c>
      <c r="P52" s="99">
        <f>12.5-I52-M52-J52</f>
        <v>3.5</v>
      </c>
      <c r="Q52" s="100">
        <f>+IF(D52=0.667,E52*F52*G52*H52*P52,0)</f>
        <v>19.531710974999999</v>
      </c>
      <c r="R52" s="100">
        <f>+IF(D52=0.333,E52*F52*G52*P52,0)</f>
        <v>0</v>
      </c>
      <c r="S52" s="101">
        <f t="shared" si="45"/>
        <v>58.595132925000001</v>
      </c>
      <c r="T52" s="101">
        <f t="shared" si="46"/>
        <v>0</v>
      </c>
      <c r="U52" s="92"/>
      <c r="V52" s="91"/>
      <c r="W52" s="102"/>
      <c r="X52" s="98"/>
      <c r="Y52" s="102"/>
      <c r="Z52" s="98"/>
      <c r="AA52" s="98"/>
      <c r="AB52" s="98"/>
      <c r="AC52" s="91"/>
      <c r="AD52" s="98"/>
      <c r="AE52" s="98"/>
      <c r="AF52" s="98"/>
      <c r="AG52" s="91"/>
      <c r="AH52" s="304">
        <v>1</v>
      </c>
      <c r="AI52" s="299">
        <f>+AH52*G52*D52*0.17</f>
        <v>0.94868310450000004</v>
      </c>
      <c r="AK52" s="301">
        <f t="shared" si="0"/>
        <v>8.3665500000000002</v>
      </c>
      <c r="AL52" s="301">
        <f t="shared" si="1"/>
        <v>0</v>
      </c>
      <c r="AM52" s="301"/>
      <c r="AN52" s="301"/>
      <c r="AO52" s="299"/>
      <c r="AP52" s="301">
        <f t="shared" si="44"/>
        <v>58.595132925000001</v>
      </c>
      <c r="AQ52" s="301"/>
    </row>
    <row r="53" spans="2:43" ht="20.100000000000001" customHeight="1" x14ac:dyDescent="0.3">
      <c r="B53" s="92"/>
      <c r="C53" s="95" t="s">
        <v>32</v>
      </c>
      <c r="D53" s="98">
        <v>0.66700000000000004</v>
      </c>
      <c r="E53" s="92">
        <v>1</v>
      </c>
      <c r="F53" s="92">
        <v>1</v>
      </c>
      <c r="G53" s="98">
        <f>(2.135)*3.281</f>
        <v>7.0049349999999997</v>
      </c>
      <c r="H53" s="98">
        <f>+D53</f>
        <v>0.66700000000000004</v>
      </c>
      <c r="I53" s="94">
        <v>2</v>
      </c>
      <c r="J53" s="99">
        <v>3</v>
      </c>
      <c r="K53" s="100">
        <f>+IF(D53=0.667,E53*F53*G53*H53*J53,0)</f>
        <v>14.016874935000001</v>
      </c>
      <c r="L53" s="100">
        <f>+IF(D53=0.333,E53*F53*G53*J53,0)</f>
        <v>0</v>
      </c>
      <c r="M53" s="99">
        <v>4</v>
      </c>
      <c r="N53" s="100">
        <f>+IF(D53=0.667,E53*F53*G53*H53*M53,0)</f>
        <v>18.689166580000002</v>
      </c>
      <c r="O53" s="100">
        <f>+IF(D53=0.333,E53*F53*G53*M53,0)</f>
        <v>0</v>
      </c>
      <c r="P53" s="99">
        <f>12.5-I53-M53-J53</f>
        <v>3.5</v>
      </c>
      <c r="Q53" s="100">
        <f>+IF(D53=0.667,E53*F53*G53*H53*P53,0)</f>
        <v>16.353020757500001</v>
      </c>
      <c r="R53" s="100">
        <f>+IF(D53=0.333,E53*F53*G53*P53,0)</f>
        <v>0</v>
      </c>
      <c r="S53" s="101">
        <f t="shared" si="45"/>
        <v>49.0590622725</v>
      </c>
      <c r="T53" s="101">
        <f t="shared" si="46"/>
        <v>0</v>
      </c>
      <c r="U53" s="92"/>
      <c r="V53" s="91"/>
      <c r="W53" s="102"/>
      <c r="X53" s="98"/>
      <c r="Y53" s="102"/>
      <c r="Z53" s="98"/>
      <c r="AA53" s="98"/>
      <c r="AB53" s="98"/>
      <c r="AC53" s="91"/>
      <c r="AD53" s="98"/>
      <c r="AE53" s="98"/>
      <c r="AF53" s="98"/>
      <c r="AG53" s="91"/>
      <c r="AH53" s="304">
        <v>1</v>
      </c>
      <c r="AI53" s="299">
        <f>+AH53*G53*D53*0.17</f>
        <v>0.79428957965000013</v>
      </c>
      <c r="AK53" s="301">
        <f t="shared" si="0"/>
        <v>7.0049349999999997</v>
      </c>
      <c r="AL53" s="301">
        <f t="shared" si="1"/>
        <v>0</v>
      </c>
      <c r="AM53" s="301"/>
      <c r="AN53" s="301"/>
      <c r="AO53" s="299"/>
      <c r="AP53" s="301">
        <f t="shared" si="44"/>
        <v>49.0590622725</v>
      </c>
      <c r="AQ53" s="301"/>
    </row>
    <row r="54" spans="2:43" ht="20.100000000000001" customHeight="1" x14ac:dyDescent="0.3">
      <c r="B54" s="92"/>
      <c r="C54" s="97" t="s">
        <v>43</v>
      </c>
      <c r="D54" s="98"/>
      <c r="E54" s="92"/>
      <c r="F54" s="92"/>
      <c r="G54" s="98"/>
      <c r="H54" s="98"/>
      <c r="I54" s="94"/>
      <c r="J54" s="92"/>
      <c r="K54" s="92"/>
      <c r="L54" s="92"/>
      <c r="M54" s="92"/>
      <c r="N54" s="92"/>
      <c r="O54" s="92"/>
      <c r="P54" s="92"/>
      <c r="Q54" s="92"/>
      <c r="R54" s="92"/>
      <c r="S54" s="92"/>
      <c r="T54" s="92"/>
      <c r="U54" s="92"/>
      <c r="V54" s="91"/>
      <c r="W54" s="102"/>
      <c r="X54" s="98"/>
      <c r="Y54" s="102"/>
      <c r="Z54" s="98"/>
      <c r="AA54" s="98"/>
      <c r="AB54" s="98"/>
      <c r="AC54" s="91"/>
      <c r="AD54" s="98"/>
      <c r="AE54" s="98"/>
      <c r="AF54" s="98"/>
      <c r="AG54" s="91"/>
      <c r="AH54" s="305"/>
      <c r="AI54" s="299"/>
      <c r="AK54" s="301">
        <f t="shared" si="0"/>
        <v>0</v>
      </c>
      <c r="AL54" s="301">
        <f t="shared" si="1"/>
        <v>0</v>
      </c>
      <c r="AM54" s="301"/>
      <c r="AN54" s="301">
        <f>+IF(D54=0.333,1.33,0)</f>
        <v>0</v>
      </c>
      <c r="AO54" s="299"/>
      <c r="AP54" s="301">
        <f t="shared" ref="AP54" si="47">+S54</f>
        <v>0</v>
      </c>
      <c r="AQ54" s="301"/>
    </row>
    <row r="55" spans="2:43" ht="20.100000000000001" customHeight="1" x14ac:dyDescent="0.3">
      <c r="B55" s="92"/>
      <c r="C55" s="95" t="s">
        <v>32</v>
      </c>
      <c r="D55" s="98">
        <v>0.33300000000000002</v>
      </c>
      <c r="E55" s="92">
        <v>1</v>
      </c>
      <c r="F55" s="92">
        <v>1</v>
      </c>
      <c r="G55" s="98">
        <f>(0.919+4.08)*3.281</f>
        <v>16.401719000000003</v>
      </c>
      <c r="H55" s="98">
        <f>+D55</f>
        <v>0.33300000000000002</v>
      </c>
      <c r="I55" s="94">
        <v>2</v>
      </c>
      <c r="J55" s="99">
        <v>3</v>
      </c>
      <c r="K55" s="100">
        <f>+IF(D55=0.667,E55*F55*G55*H55*J55,0)</f>
        <v>0</v>
      </c>
      <c r="L55" s="100">
        <f>+IF(D55=0.333,E55*F55*G55*J55,0)</f>
        <v>49.205157000000014</v>
      </c>
      <c r="M55" s="99">
        <v>4</v>
      </c>
      <c r="N55" s="100">
        <f>+IF(D55=0.667,E55*F55*G55*H55*M55,0)</f>
        <v>0</v>
      </c>
      <c r="O55" s="100">
        <f>+IF(D55=0.333,E55*F55*G55*M55,0)</f>
        <v>65.606876000000014</v>
      </c>
      <c r="P55" s="99">
        <f>12.5-I55-M55-J55</f>
        <v>3.5</v>
      </c>
      <c r="Q55" s="100">
        <f>+IF(D55=0.667,E55*F55*G55*H55*P55,0)</f>
        <v>0</v>
      </c>
      <c r="R55" s="100">
        <f>+IF(D55=0.333,E55*F55*G55*P55,0)</f>
        <v>57.406016500000014</v>
      </c>
      <c r="S55" s="101">
        <f t="shared" ref="S55" si="48">+Q55+N55+K55</f>
        <v>0</v>
      </c>
      <c r="T55" s="101">
        <f t="shared" ref="T55" si="49">+R55+O55+L55</f>
        <v>172.21804950000003</v>
      </c>
      <c r="U55" s="92"/>
      <c r="V55" s="91"/>
      <c r="W55" s="102"/>
      <c r="X55" s="98"/>
      <c r="Y55" s="102"/>
      <c r="Z55" s="98"/>
      <c r="AA55" s="98"/>
      <c r="AB55" s="98"/>
      <c r="AC55" s="91"/>
      <c r="AD55" s="98"/>
      <c r="AE55" s="98"/>
      <c r="AF55" s="98"/>
      <c r="AG55" s="91"/>
      <c r="AH55" s="305">
        <v>1</v>
      </c>
      <c r="AI55" s="299">
        <f>+AH55*G55*D55*0.17</f>
        <v>0.92850131259000035</v>
      </c>
      <c r="AK55" s="301">
        <f t="shared" si="0"/>
        <v>0</v>
      </c>
      <c r="AL55" s="301">
        <f t="shared" si="1"/>
        <v>16.401719000000003</v>
      </c>
      <c r="AM55" s="301"/>
      <c r="AN55" s="301"/>
      <c r="AO55" s="299"/>
      <c r="AP55" s="301">
        <f>+S55</f>
        <v>0</v>
      </c>
      <c r="AQ55" s="301"/>
    </row>
    <row r="56" spans="2:43" ht="20.100000000000001" customHeight="1" x14ac:dyDescent="0.3">
      <c r="B56" s="369"/>
      <c r="C56" s="370"/>
      <c r="D56" s="371"/>
      <c r="E56" s="369"/>
      <c r="F56" s="369"/>
      <c r="G56" s="371"/>
      <c r="H56" s="371"/>
      <c r="I56" s="372"/>
      <c r="J56" s="92"/>
      <c r="K56" s="92"/>
      <c r="L56" s="92"/>
      <c r="M56" s="92"/>
      <c r="N56" s="92"/>
      <c r="O56" s="92"/>
      <c r="P56" s="92"/>
      <c r="Q56" s="92"/>
      <c r="R56" s="92"/>
      <c r="S56" s="92"/>
      <c r="T56" s="92"/>
      <c r="U56" s="369"/>
      <c r="V56" s="373"/>
      <c r="W56" s="374"/>
      <c r="X56" s="371"/>
      <c r="Y56" s="374"/>
      <c r="Z56" s="371"/>
      <c r="AA56" s="371"/>
      <c r="AB56" s="371"/>
      <c r="AC56" s="373"/>
      <c r="AD56" s="371"/>
      <c r="AE56" s="371"/>
      <c r="AF56" s="371"/>
      <c r="AG56" s="373"/>
      <c r="AH56" s="376"/>
      <c r="AI56" s="374"/>
      <c r="AK56" s="301">
        <f t="shared" si="0"/>
        <v>0</v>
      </c>
      <c r="AL56" s="301">
        <f t="shared" si="1"/>
        <v>0</v>
      </c>
      <c r="AM56" s="378"/>
      <c r="AN56" s="378"/>
      <c r="AO56" s="374"/>
      <c r="AP56" s="378"/>
      <c r="AQ56" s="378"/>
    </row>
    <row r="57" spans="2:43" ht="27.6" x14ac:dyDescent="0.3">
      <c r="B57" s="92">
        <v>3</v>
      </c>
      <c r="C57" s="93" t="s">
        <v>334</v>
      </c>
      <c r="D57" s="92"/>
      <c r="E57" s="92"/>
      <c r="F57" s="92"/>
      <c r="G57" s="92"/>
      <c r="H57" s="92"/>
      <c r="I57" s="94"/>
      <c r="J57" s="92"/>
      <c r="K57" s="92"/>
      <c r="L57" s="92"/>
      <c r="M57" s="92"/>
      <c r="N57" s="92"/>
      <c r="O57" s="92"/>
      <c r="P57" s="92"/>
      <c r="Q57" s="92"/>
      <c r="R57" s="92"/>
      <c r="S57" s="92"/>
      <c r="T57" s="92"/>
      <c r="U57" s="92"/>
      <c r="V57" s="95"/>
      <c r="W57" s="92"/>
      <c r="X57" s="92"/>
      <c r="Y57" s="92"/>
      <c r="Z57" s="92"/>
      <c r="AA57" s="92"/>
      <c r="AB57" s="92"/>
      <c r="AC57" s="95"/>
      <c r="AD57" s="92"/>
      <c r="AE57" s="92"/>
      <c r="AF57" s="92"/>
      <c r="AG57" s="95"/>
      <c r="AH57" s="304"/>
      <c r="AI57" s="301"/>
      <c r="AK57" s="301">
        <f t="shared" si="0"/>
        <v>0</v>
      </c>
      <c r="AL57" s="301">
        <f t="shared" si="1"/>
        <v>0</v>
      </c>
      <c r="AM57" s="301"/>
      <c r="AN57" s="301"/>
      <c r="AO57" s="299"/>
      <c r="AP57" s="301"/>
      <c r="AQ57" s="301"/>
    </row>
    <row r="58" spans="2:43" ht="20.100000000000001" customHeight="1" x14ac:dyDescent="0.3">
      <c r="B58" s="92"/>
      <c r="C58" s="96"/>
      <c r="D58" s="92"/>
      <c r="E58" s="92"/>
      <c r="F58" s="92"/>
      <c r="G58" s="92"/>
      <c r="H58" s="92"/>
      <c r="I58" s="94"/>
      <c r="J58" s="92"/>
      <c r="K58" s="92"/>
      <c r="L58" s="92"/>
      <c r="M58" s="92"/>
      <c r="N58" s="92"/>
      <c r="O58" s="92"/>
      <c r="P58" s="92"/>
      <c r="Q58" s="92"/>
      <c r="R58" s="92"/>
      <c r="S58" s="92"/>
      <c r="T58" s="92"/>
      <c r="U58" s="92"/>
      <c r="V58" s="95"/>
      <c r="W58" s="92"/>
      <c r="X58" s="92"/>
      <c r="Y58" s="92"/>
      <c r="Z58" s="92"/>
      <c r="AA58" s="92"/>
      <c r="AB58" s="92"/>
      <c r="AC58" s="95"/>
      <c r="AD58" s="92"/>
      <c r="AE58" s="92"/>
      <c r="AF58" s="92"/>
      <c r="AG58" s="95"/>
      <c r="AH58" s="305"/>
      <c r="AI58" s="306"/>
      <c r="AK58" s="301">
        <f t="shared" si="0"/>
        <v>0</v>
      </c>
      <c r="AL58" s="301">
        <f t="shared" si="1"/>
        <v>0</v>
      </c>
      <c r="AM58" s="301"/>
      <c r="AN58" s="301"/>
      <c r="AO58" s="299"/>
      <c r="AP58" s="301"/>
      <c r="AQ58" s="301"/>
    </row>
    <row r="59" spans="2:43" ht="20.100000000000001" customHeight="1" x14ac:dyDescent="0.3">
      <c r="B59" s="92"/>
      <c r="C59" s="97" t="s">
        <v>329</v>
      </c>
      <c r="D59" s="98"/>
      <c r="E59" s="92"/>
      <c r="F59" s="92"/>
      <c r="G59" s="98"/>
      <c r="H59" s="98"/>
      <c r="I59" s="94"/>
      <c r="J59" s="92"/>
      <c r="K59" s="92"/>
      <c r="L59" s="92"/>
      <c r="M59" s="92"/>
      <c r="N59" s="92"/>
      <c r="O59" s="92"/>
      <c r="P59" s="92"/>
      <c r="Q59" s="92"/>
      <c r="R59" s="92"/>
      <c r="S59" s="92"/>
      <c r="T59" s="92"/>
      <c r="U59" s="92"/>
      <c r="V59" s="91"/>
      <c r="W59" s="102"/>
      <c r="X59" s="98"/>
      <c r="Y59" s="102"/>
      <c r="Z59" s="98"/>
      <c r="AA59" s="98"/>
      <c r="AB59" s="98"/>
      <c r="AC59" s="91"/>
      <c r="AD59" s="98"/>
      <c r="AE59" s="98"/>
      <c r="AF59" s="98"/>
      <c r="AG59" s="91"/>
      <c r="AH59" s="304"/>
      <c r="AI59" s="299"/>
      <c r="AK59" s="301">
        <f t="shared" si="0"/>
        <v>0</v>
      </c>
      <c r="AL59" s="301">
        <f t="shared" si="1"/>
        <v>0</v>
      </c>
      <c r="AM59" s="301"/>
      <c r="AN59" s="301">
        <f>+IF(D59=0.333,1,0)</f>
        <v>0</v>
      </c>
      <c r="AO59" s="299"/>
      <c r="AP59" s="301"/>
      <c r="AQ59" s="301"/>
    </row>
    <row r="60" spans="2:43" ht="20.100000000000001" customHeight="1" x14ac:dyDescent="0.3">
      <c r="B60" s="92"/>
      <c r="C60" s="95" t="s">
        <v>33</v>
      </c>
      <c r="D60" s="98">
        <v>0.66700000000000004</v>
      </c>
      <c r="E60" s="92">
        <v>1</v>
      </c>
      <c r="F60" s="92">
        <v>1</v>
      </c>
      <c r="G60" s="98">
        <f>(8.425)*3.281</f>
        <v>27.642425000000003</v>
      </c>
      <c r="H60" s="98">
        <f>+D60</f>
        <v>0.66700000000000004</v>
      </c>
      <c r="I60" s="94">
        <v>2</v>
      </c>
      <c r="J60" s="99">
        <v>3</v>
      </c>
      <c r="K60" s="100">
        <f>+IF(D60=0.667,E60*F60*G60*H60*J60,0)</f>
        <v>55.312492425000016</v>
      </c>
      <c r="L60" s="100">
        <f>+IF(D60=0.333,E60*F60*G60*J60,0)</f>
        <v>0</v>
      </c>
      <c r="M60" s="99">
        <v>4</v>
      </c>
      <c r="N60" s="100">
        <f>+IF(D60=0.667,E60*F60*G60*H60*M60,0)</f>
        <v>73.749989900000017</v>
      </c>
      <c r="O60" s="100">
        <f>+IF(D60=0.333,E60*F60*G60*M60,0)</f>
        <v>0</v>
      </c>
      <c r="P60" s="99">
        <f>12.5-I60-M60-J60</f>
        <v>3.5</v>
      </c>
      <c r="Q60" s="100">
        <f>+IF(D60=0.667,E60*F60*G60*H60*P60,0)</f>
        <v>64.53124116250001</v>
      </c>
      <c r="R60" s="100">
        <f>+IF(D60=0.333,E60*F60*G60*P60,0)</f>
        <v>0</v>
      </c>
      <c r="S60" s="101">
        <f t="shared" ref="S60:S62" si="50">+Q60+N60+K60</f>
        <v>193.59372348750003</v>
      </c>
      <c r="T60" s="101">
        <f t="shared" ref="T60:T62" si="51">+R60+O60+L60</f>
        <v>0</v>
      </c>
      <c r="U60" s="92"/>
      <c r="V60" s="91"/>
      <c r="W60" s="102"/>
      <c r="X60" s="98"/>
      <c r="Y60" s="102"/>
      <c r="Z60" s="98"/>
      <c r="AA60" s="98"/>
      <c r="AB60" s="98"/>
      <c r="AC60" s="91"/>
      <c r="AD60" s="98"/>
      <c r="AE60" s="98"/>
      <c r="AF60" s="98"/>
      <c r="AG60" s="91"/>
      <c r="AH60" s="304">
        <v>1</v>
      </c>
      <c r="AI60" s="299">
        <f>+AH60*G60*D60*0.17</f>
        <v>3.1343745707500008</v>
      </c>
      <c r="AK60" s="301">
        <f t="shared" si="0"/>
        <v>27.642425000000003</v>
      </c>
      <c r="AL60" s="301">
        <f t="shared" si="1"/>
        <v>0</v>
      </c>
      <c r="AM60" s="301"/>
      <c r="AN60" s="301"/>
      <c r="AO60" s="299"/>
      <c r="AP60" s="301"/>
      <c r="AQ60" s="301"/>
    </row>
    <row r="61" spans="2:43" ht="20.100000000000001" customHeight="1" x14ac:dyDescent="0.3">
      <c r="B61" s="92"/>
      <c r="C61" s="95" t="s">
        <v>31</v>
      </c>
      <c r="D61" s="98">
        <v>0.66700000000000004</v>
      </c>
      <c r="E61" s="92">
        <v>1</v>
      </c>
      <c r="F61" s="92">
        <v>1</v>
      </c>
      <c r="G61" s="98">
        <f>(2.347)*3.281</f>
        <v>7.700507</v>
      </c>
      <c r="H61" s="98">
        <f>+D61</f>
        <v>0.66700000000000004</v>
      </c>
      <c r="I61" s="94">
        <v>2</v>
      </c>
      <c r="J61" s="99">
        <v>3</v>
      </c>
      <c r="K61" s="100">
        <f>+IF(D61=0.667,E61*F61*G61*H61*J61,0)</f>
        <v>15.408714507000001</v>
      </c>
      <c r="L61" s="100">
        <f>+IF(D61=0.333,E61*F61*G61*J61,0)</f>
        <v>0</v>
      </c>
      <c r="M61" s="99">
        <v>4</v>
      </c>
      <c r="N61" s="100">
        <f>+IF(D61=0.667,E61*F61*G61*H61*M61,0)</f>
        <v>20.544952676000001</v>
      </c>
      <c r="O61" s="100">
        <f>+IF(D61=0.333,E61*F61*G61*M61,0)</f>
        <v>0</v>
      </c>
      <c r="P61" s="99">
        <f t="shared" ref="P61:P62" si="52">12.5-I61-M61-J61</f>
        <v>3.5</v>
      </c>
      <c r="Q61" s="100">
        <f>+IF(D61=0.667,E61*F61*G61*H61*P61,0)</f>
        <v>17.9768335915</v>
      </c>
      <c r="R61" s="100">
        <f>+IF(D61=0.333,E61*F61*G61*P61,0)</f>
        <v>0</v>
      </c>
      <c r="S61" s="101">
        <f t="shared" si="50"/>
        <v>53.930500774500004</v>
      </c>
      <c r="T61" s="101">
        <f t="shared" si="51"/>
        <v>0</v>
      </c>
      <c r="U61" s="92"/>
      <c r="V61" s="91"/>
      <c r="W61" s="102"/>
      <c r="X61" s="98"/>
      <c r="Y61" s="102"/>
      <c r="Z61" s="98"/>
      <c r="AA61" s="98"/>
      <c r="AB61" s="98"/>
      <c r="AC61" s="91"/>
      <c r="AD61" s="98"/>
      <c r="AE61" s="98"/>
      <c r="AF61" s="98"/>
      <c r="AG61" s="91"/>
      <c r="AH61" s="304">
        <v>1</v>
      </c>
      <c r="AI61" s="299">
        <f>+AH61*G61*D61*0.17</f>
        <v>0.87316048873000007</v>
      </c>
      <c r="AK61" s="301">
        <f t="shared" si="0"/>
        <v>7.700507</v>
      </c>
      <c r="AL61" s="301">
        <f t="shared" si="1"/>
        <v>0</v>
      </c>
      <c r="AM61" s="301"/>
      <c r="AN61" s="301"/>
      <c r="AO61" s="299"/>
      <c r="AP61" s="301"/>
      <c r="AQ61" s="301"/>
    </row>
    <row r="62" spans="2:43" ht="20.100000000000001" customHeight="1" x14ac:dyDescent="0.3">
      <c r="B62" s="92"/>
      <c r="C62" s="95" t="s">
        <v>38</v>
      </c>
      <c r="D62" s="98">
        <v>0.66700000000000004</v>
      </c>
      <c r="E62" s="92">
        <v>1</v>
      </c>
      <c r="F62" s="92">
        <v>1</v>
      </c>
      <c r="G62" s="98">
        <f>(3.366)*3.281</f>
        <v>11.043846</v>
      </c>
      <c r="H62" s="98">
        <f>+D62</f>
        <v>0.66700000000000004</v>
      </c>
      <c r="I62" s="94">
        <v>2</v>
      </c>
      <c r="J62" s="99">
        <v>3</v>
      </c>
      <c r="K62" s="100">
        <f>+IF(D62=0.667,E62*F62*G62*H62*J62,0)</f>
        <v>22.098735846</v>
      </c>
      <c r="L62" s="100">
        <f>+IF(D62=0.333,E62*F62*G62*J62,0)</f>
        <v>0</v>
      </c>
      <c r="M62" s="99">
        <v>4</v>
      </c>
      <c r="N62" s="100">
        <f>+IF(D62=0.667,E62*F62*G62*H62*M62,0)</f>
        <v>29.464981128000002</v>
      </c>
      <c r="O62" s="100">
        <f>+IF(D62=0.333,E62*F62*G62*M62,0)</f>
        <v>0</v>
      </c>
      <c r="P62" s="99">
        <f t="shared" si="52"/>
        <v>3.5</v>
      </c>
      <c r="Q62" s="100">
        <f>+IF(D62=0.667,E62*F62*G62*H62*P62,0)</f>
        <v>25.781858487000001</v>
      </c>
      <c r="R62" s="100">
        <f>+IF(D62=0.333,E62*F62*G62*P62,0)</f>
        <v>0</v>
      </c>
      <c r="S62" s="101">
        <f t="shared" si="50"/>
        <v>77.345575460999996</v>
      </c>
      <c r="T62" s="101">
        <f t="shared" si="51"/>
        <v>0</v>
      </c>
      <c r="U62" s="92"/>
      <c r="V62" s="91"/>
      <c r="W62" s="102"/>
      <c r="X62" s="98"/>
      <c r="Y62" s="102"/>
      <c r="Z62" s="98"/>
      <c r="AA62" s="98"/>
      <c r="AB62" s="98"/>
      <c r="AC62" s="91"/>
      <c r="AD62" s="98"/>
      <c r="AE62" s="98"/>
      <c r="AF62" s="98"/>
      <c r="AG62" s="91"/>
      <c r="AH62" s="304">
        <v>1</v>
      </c>
      <c r="AI62" s="299">
        <f>+AH62*G62*D62*0.17</f>
        <v>1.2522616979400001</v>
      </c>
      <c r="AK62" s="301">
        <f t="shared" si="0"/>
        <v>11.043846</v>
      </c>
      <c r="AL62" s="301">
        <f t="shared" si="1"/>
        <v>0</v>
      </c>
      <c r="AM62" s="301"/>
      <c r="AN62" s="301"/>
      <c r="AO62" s="299"/>
      <c r="AP62" s="301"/>
      <c r="AQ62" s="301"/>
    </row>
    <row r="63" spans="2:43" ht="20.100000000000001" customHeight="1" x14ac:dyDescent="0.3">
      <c r="B63" s="92"/>
      <c r="C63" s="95" t="s">
        <v>328</v>
      </c>
      <c r="D63" s="98">
        <v>0.66700000000000004</v>
      </c>
      <c r="E63" s="92">
        <v>-1</v>
      </c>
      <c r="F63" s="701">
        <v>1</v>
      </c>
      <c r="G63" s="98">
        <v>2.5</v>
      </c>
      <c r="H63" s="98">
        <f>+D63</f>
        <v>0.66700000000000004</v>
      </c>
      <c r="I63" s="102"/>
      <c r="J63" s="99">
        <v>3</v>
      </c>
      <c r="K63" s="100">
        <f>+IF(D63=0.667,E63*F63*G63*H63*J63,0)</f>
        <v>-5.0024999999999995</v>
      </c>
      <c r="L63" s="100">
        <f>+IF(D63=0.333,E63*F63*G63*J63,0)</f>
        <v>0</v>
      </c>
      <c r="M63" s="99">
        <v>4</v>
      </c>
      <c r="N63" s="100">
        <f>+IF(D63=0.667,E63*F63*G63*H63*M63,0)</f>
        <v>-6.67</v>
      </c>
      <c r="O63" s="100">
        <f>+IF(D63=0.333,E63*F63*G63*M63,0)</f>
        <v>0</v>
      </c>
      <c r="P63" s="99"/>
      <c r="Q63" s="100">
        <f>+IF(D63=0.667,E63*F63*G63*H63*P63,0)</f>
        <v>0</v>
      </c>
      <c r="R63" s="100">
        <f>+IF(D63=0.333,E63*F63*G63*P63,0)</f>
        <v>0</v>
      </c>
      <c r="S63" s="101">
        <f>+Q63+N63+K63</f>
        <v>-11.672499999999999</v>
      </c>
      <c r="T63" s="101">
        <f>+R63+O63+L63</f>
        <v>0</v>
      </c>
      <c r="U63" s="92"/>
      <c r="V63" s="91"/>
      <c r="W63" s="98">
        <f>+G63+D63*2</f>
        <v>3.8340000000000001</v>
      </c>
      <c r="X63" s="98">
        <v>0.5</v>
      </c>
      <c r="Y63" s="98">
        <f>+IF(D63=0.667,-E63*F63*H63*W63*X63,0)</f>
        <v>1.2786390000000001</v>
      </c>
      <c r="Z63" s="98">
        <f>+IF(D63=0.333,-E63*F63*H63*W63*X63,0)</f>
        <v>0</v>
      </c>
      <c r="AA63" s="98">
        <f>+F63*G63*H63</f>
        <v>1.6675</v>
      </c>
      <c r="AB63" s="98">
        <f>2*F63*W63*X63</f>
        <v>3.8340000000000001</v>
      </c>
      <c r="AC63" s="91"/>
      <c r="AD63" s="98"/>
      <c r="AE63" s="98">
        <f>+IF(D63=0.667,AD63*W63*H63*F63,0)</f>
        <v>0</v>
      </c>
      <c r="AF63" s="98">
        <f>+IF(D63=0.333,AD63*W63*H63*F63,0)</f>
        <v>0</v>
      </c>
      <c r="AG63" s="91"/>
      <c r="AH63" s="304"/>
      <c r="AI63" s="299">
        <f>+AH63*G63*D63*0.17</f>
        <v>0</v>
      </c>
      <c r="AK63" s="301">
        <f t="shared" si="0"/>
        <v>-2.5</v>
      </c>
      <c r="AL63" s="301">
        <f t="shared" si="1"/>
        <v>0</v>
      </c>
      <c r="AM63" s="315">
        <f>+IF(D63=0.667,1.33,0)</f>
        <v>1.33</v>
      </c>
      <c r="AN63" s="301"/>
      <c r="AO63" s="299"/>
      <c r="AP63" s="301"/>
      <c r="AQ63" s="301"/>
    </row>
    <row r="64" spans="2:43" ht="20.100000000000001" customHeight="1" x14ac:dyDescent="0.3">
      <c r="B64" s="92"/>
      <c r="C64" s="96"/>
      <c r="D64" s="92"/>
      <c r="E64" s="92"/>
      <c r="F64" s="92"/>
      <c r="G64" s="92"/>
      <c r="H64" s="92"/>
      <c r="I64" s="94"/>
      <c r="J64" s="92"/>
      <c r="K64" s="92"/>
      <c r="L64" s="92"/>
      <c r="M64" s="92"/>
      <c r="N64" s="92"/>
      <c r="O64" s="92"/>
      <c r="P64" s="92"/>
      <c r="Q64" s="92"/>
      <c r="R64" s="92"/>
      <c r="S64" s="92"/>
      <c r="T64" s="92"/>
      <c r="U64" s="92"/>
      <c r="V64" s="95"/>
      <c r="W64" s="92"/>
      <c r="X64" s="92"/>
      <c r="Y64" s="92"/>
      <c r="Z64" s="92"/>
      <c r="AA64" s="92"/>
      <c r="AB64" s="92"/>
      <c r="AC64" s="95"/>
      <c r="AD64" s="92"/>
      <c r="AE64" s="92"/>
      <c r="AF64" s="92"/>
      <c r="AG64" s="95"/>
      <c r="AH64" s="305"/>
      <c r="AI64" s="306"/>
      <c r="AK64" s="301">
        <f t="shared" si="0"/>
        <v>0</v>
      </c>
      <c r="AL64" s="301">
        <f t="shared" si="1"/>
        <v>0</v>
      </c>
      <c r="AM64" s="301"/>
      <c r="AN64" s="301"/>
      <c r="AO64" s="299"/>
      <c r="AP64" s="301"/>
      <c r="AQ64" s="301"/>
    </row>
    <row r="65" spans="2:43" ht="20.100000000000001" customHeight="1" x14ac:dyDescent="0.3">
      <c r="B65" s="92"/>
      <c r="C65" s="97" t="s">
        <v>330</v>
      </c>
      <c r="D65" s="98"/>
      <c r="E65" s="92"/>
      <c r="F65" s="92"/>
      <c r="G65" s="98"/>
      <c r="H65" s="98"/>
      <c r="I65" s="94"/>
      <c r="J65" s="92"/>
      <c r="K65" s="92"/>
      <c r="L65" s="92"/>
      <c r="M65" s="92"/>
      <c r="N65" s="92"/>
      <c r="O65" s="92"/>
      <c r="P65" s="92"/>
      <c r="Q65" s="92"/>
      <c r="R65" s="92"/>
      <c r="S65" s="92"/>
      <c r="T65" s="92"/>
      <c r="U65" s="92"/>
      <c r="V65" s="91"/>
      <c r="W65" s="102"/>
      <c r="X65" s="98"/>
      <c r="Y65" s="102"/>
      <c r="Z65" s="98"/>
      <c r="AA65" s="98"/>
      <c r="AB65" s="98"/>
      <c r="AC65" s="91"/>
      <c r="AD65" s="98"/>
      <c r="AE65" s="98"/>
      <c r="AF65" s="98"/>
      <c r="AG65" s="91"/>
      <c r="AH65" s="304"/>
      <c r="AI65" s="299"/>
      <c r="AK65" s="301">
        <f t="shared" si="0"/>
        <v>0</v>
      </c>
      <c r="AL65" s="301">
        <f t="shared" si="1"/>
        <v>0</v>
      </c>
      <c r="AM65" s="301">
        <v>0</v>
      </c>
      <c r="AN65" s="301"/>
      <c r="AO65" s="299"/>
      <c r="AP65" s="301"/>
      <c r="AQ65" s="301"/>
    </row>
    <row r="66" spans="2:43" ht="20.100000000000001" customHeight="1" x14ac:dyDescent="0.3">
      <c r="B66" s="92"/>
      <c r="C66" s="95" t="s">
        <v>31</v>
      </c>
      <c r="D66" s="98">
        <v>0.66700000000000004</v>
      </c>
      <c r="E66" s="92">
        <v>1</v>
      </c>
      <c r="F66" s="92">
        <v>1</v>
      </c>
      <c r="G66" s="98">
        <f>(3.369)*3.281</f>
        <v>11.053689</v>
      </c>
      <c r="H66" s="98">
        <f>+D66</f>
        <v>0.66700000000000004</v>
      </c>
      <c r="I66" s="94">
        <v>2</v>
      </c>
      <c r="J66" s="99">
        <v>3</v>
      </c>
      <c r="K66" s="100">
        <f>+IF(D66=0.667,E66*F66*G66*H66*J66,0)</f>
        <v>22.118431689000001</v>
      </c>
      <c r="L66" s="100">
        <f>+IF(D66=0.333,E66*F66*G66*J66,0)</f>
        <v>0</v>
      </c>
      <c r="M66" s="99">
        <v>4</v>
      </c>
      <c r="N66" s="100">
        <f>+IF(D66=0.667,E66*F66*G66*H66*M66,0)</f>
        <v>29.491242252000003</v>
      </c>
      <c r="O66" s="100">
        <f>+IF(D66=0.333,E66*F66*G66*M66,0)</f>
        <v>0</v>
      </c>
      <c r="P66" s="99">
        <f>12.5-I66-M66-J66</f>
        <v>3.5</v>
      </c>
      <c r="Q66" s="100">
        <f>+IF(D66=0.667,E66*F66*G66*H66*P66,0)</f>
        <v>25.804836970500002</v>
      </c>
      <c r="R66" s="100">
        <f>+IF(D66=0.333,E66*F66*G66*P66,0)</f>
        <v>0</v>
      </c>
      <c r="S66" s="101">
        <f t="shared" ref="S66:S68" si="53">+Q66+N66+K66</f>
        <v>77.414510911500003</v>
      </c>
      <c r="T66" s="101">
        <f t="shared" ref="T66:T68" si="54">+R66+O66+L66</f>
        <v>0</v>
      </c>
      <c r="U66" s="92"/>
      <c r="V66" s="91"/>
      <c r="W66" s="102"/>
      <c r="X66" s="98"/>
      <c r="Y66" s="102"/>
      <c r="Z66" s="98"/>
      <c r="AA66" s="98"/>
      <c r="AB66" s="98"/>
      <c r="AC66" s="91"/>
      <c r="AD66" s="98"/>
      <c r="AE66" s="98"/>
      <c r="AF66" s="98"/>
      <c r="AG66" s="91"/>
      <c r="AH66" s="304">
        <v>1</v>
      </c>
      <c r="AI66" s="299">
        <f>+AH66*G66*D66*0.17</f>
        <v>1.2533777957100003</v>
      </c>
      <c r="AK66" s="301">
        <f t="shared" si="0"/>
        <v>11.053689</v>
      </c>
      <c r="AL66" s="301">
        <f t="shared" si="1"/>
        <v>0</v>
      </c>
      <c r="AM66" s="301"/>
      <c r="AN66" s="301"/>
      <c r="AO66" s="299"/>
      <c r="AP66" s="301"/>
      <c r="AQ66" s="301"/>
    </row>
    <row r="67" spans="2:43" ht="20.100000000000001" customHeight="1" x14ac:dyDescent="0.3">
      <c r="B67" s="92"/>
      <c r="C67" s="95" t="s">
        <v>32</v>
      </c>
      <c r="D67" s="98">
        <v>0.66700000000000004</v>
      </c>
      <c r="E67" s="92">
        <v>1</v>
      </c>
      <c r="F67" s="92">
        <v>1</v>
      </c>
      <c r="G67" s="98">
        <f>(3.555)*3.281</f>
        <v>11.663955000000001</v>
      </c>
      <c r="H67" s="98">
        <f>+D67</f>
        <v>0.66700000000000004</v>
      </c>
      <c r="I67" s="94">
        <v>2</v>
      </c>
      <c r="J67" s="99">
        <v>3</v>
      </c>
      <c r="K67" s="100">
        <f>+IF(D67=0.667,E67*F67*G67*H67*J67,0)</f>
        <v>23.339573955000006</v>
      </c>
      <c r="L67" s="100">
        <f>+IF(D67=0.333,E67*F67*G67*J67,0)</f>
        <v>0</v>
      </c>
      <c r="M67" s="99">
        <v>4</v>
      </c>
      <c r="N67" s="100">
        <f>+IF(D67=0.667,E67*F67*G67*H67*M67,0)</f>
        <v>31.119431940000005</v>
      </c>
      <c r="O67" s="100">
        <f>+IF(D67=0.333,E67*F67*G67*M67,0)</f>
        <v>0</v>
      </c>
      <c r="P67" s="99">
        <f>12.5-I67-M67-J67</f>
        <v>3.5</v>
      </c>
      <c r="Q67" s="100">
        <f>+IF(D67=0.667,E67*F67*G67*H67*P67,0)</f>
        <v>27.229502947500006</v>
      </c>
      <c r="R67" s="100">
        <f>+IF(D67=0.333,E67*F67*G67*P67,0)</f>
        <v>0</v>
      </c>
      <c r="S67" s="101">
        <f t="shared" si="53"/>
        <v>81.688508842500013</v>
      </c>
      <c r="T67" s="101">
        <f t="shared" si="54"/>
        <v>0</v>
      </c>
      <c r="U67" s="92"/>
      <c r="V67" s="91"/>
      <c r="W67" s="102"/>
      <c r="X67" s="98"/>
      <c r="Y67" s="102"/>
      <c r="Z67" s="98"/>
      <c r="AA67" s="98"/>
      <c r="AB67" s="98"/>
      <c r="AC67" s="91"/>
      <c r="AD67" s="98"/>
      <c r="AE67" s="98"/>
      <c r="AF67" s="98"/>
      <c r="AG67" s="91"/>
      <c r="AH67" s="304">
        <v>1</v>
      </c>
      <c r="AI67" s="299">
        <f>+AH67*G67*D67*0.17</f>
        <v>1.3225758574500004</v>
      </c>
      <c r="AK67" s="301">
        <f t="shared" si="0"/>
        <v>11.663955000000001</v>
      </c>
      <c r="AL67" s="301">
        <f t="shared" si="1"/>
        <v>0</v>
      </c>
      <c r="AM67" s="301"/>
      <c r="AN67" s="301"/>
      <c r="AO67" s="299"/>
      <c r="AP67" s="301"/>
      <c r="AQ67" s="301"/>
    </row>
    <row r="68" spans="2:43" ht="20.100000000000001" customHeight="1" x14ac:dyDescent="0.3">
      <c r="B68" s="92"/>
      <c r="C68" s="95" t="s">
        <v>38</v>
      </c>
      <c r="D68" s="98">
        <v>0.66700000000000004</v>
      </c>
      <c r="E68" s="92">
        <v>1</v>
      </c>
      <c r="F68" s="92">
        <v>1</v>
      </c>
      <c r="G68" s="98">
        <f>(2)*3.281</f>
        <v>6.5620000000000003</v>
      </c>
      <c r="H68" s="98">
        <f>+D68</f>
        <v>0.66700000000000004</v>
      </c>
      <c r="I68" s="94">
        <v>2</v>
      </c>
      <c r="J68" s="99">
        <v>3</v>
      </c>
      <c r="K68" s="100">
        <f>+IF(D68=0.667,E68*F68*G68*H68*J68,0)</f>
        <v>13.130562000000001</v>
      </c>
      <c r="L68" s="100">
        <f>+IF(D68=0.333,E68*F68*G68*J68,0)</f>
        <v>0</v>
      </c>
      <c r="M68" s="99">
        <v>4</v>
      </c>
      <c r="N68" s="100">
        <f>+IF(D68=0.667,E68*F68*G68*H68*M68,0)</f>
        <v>17.507416000000003</v>
      </c>
      <c r="O68" s="100">
        <f>+IF(D68=0.333,E68*F68*G68*M68,0)</f>
        <v>0</v>
      </c>
      <c r="P68" s="99">
        <f>12.5-I68-M68-J68</f>
        <v>3.5</v>
      </c>
      <c r="Q68" s="100">
        <f>+IF(D68=0.667,E68*F68*G68*H68*P68,0)</f>
        <v>15.318989000000002</v>
      </c>
      <c r="R68" s="100">
        <f>+IF(D68=0.333,E68*F68*G68*P68,0)</f>
        <v>0</v>
      </c>
      <c r="S68" s="101">
        <f t="shared" si="53"/>
        <v>45.956967000000006</v>
      </c>
      <c r="T68" s="101">
        <f t="shared" si="54"/>
        <v>0</v>
      </c>
      <c r="U68" s="92"/>
      <c r="V68" s="91"/>
      <c r="W68" s="102"/>
      <c r="X68" s="98"/>
      <c r="Y68" s="102"/>
      <c r="Z68" s="98"/>
      <c r="AA68" s="98"/>
      <c r="AB68" s="98"/>
      <c r="AC68" s="91"/>
      <c r="AD68" s="98"/>
      <c r="AE68" s="98"/>
      <c r="AF68" s="98"/>
      <c r="AG68" s="91"/>
      <c r="AH68" s="304">
        <v>1</v>
      </c>
      <c r="AI68" s="299">
        <f>+AH68*G68*D68*0.17</f>
        <v>0.74406518000000021</v>
      </c>
      <c r="AK68" s="301">
        <f t="shared" si="0"/>
        <v>6.5620000000000003</v>
      </c>
      <c r="AL68" s="301">
        <f t="shared" si="1"/>
        <v>0</v>
      </c>
      <c r="AM68" s="301"/>
      <c r="AN68" s="301"/>
      <c r="AO68" s="299"/>
      <c r="AP68" s="301"/>
      <c r="AQ68" s="301"/>
    </row>
    <row r="69" spans="2:43" ht="20.100000000000001" customHeight="1" x14ac:dyDescent="0.3">
      <c r="B69" s="92"/>
      <c r="C69" s="96"/>
      <c r="D69" s="92"/>
      <c r="E69" s="92"/>
      <c r="F69" s="92"/>
      <c r="G69" s="92"/>
      <c r="H69" s="92"/>
      <c r="I69" s="94"/>
      <c r="J69" s="92"/>
      <c r="K69" s="92"/>
      <c r="L69" s="92"/>
      <c r="M69" s="92"/>
      <c r="N69" s="92"/>
      <c r="O69" s="92"/>
      <c r="P69" s="92"/>
      <c r="Q69" s="92"/>
      <c r="R69" s="92"/>
      <c r="S69" s="92"/>
      <c r="T69" s="92"/>
      <c r="U69" s="92"/>
      <c r="V69" s="95"/>
      <c r="W69" s="92"/>
      <c r="X69" s="92"/>
      <c r="Y69" s="92"/>
      <c r="Z69" s="92"/>
      <c r="AA69" s="92"/>
      <c r="AB69" s="92"/>
      <c r="AC69" s="95"/>
      <c r="AD69" s="92"/>
      <c r="AE69" s="92"/>
      <c r="AF69" s="92"/>
      <c r="AG69" s="95"/>
      <c r="AH69" s="305"/>
      <c r="AI69" s="306"/>
      <c r="AK69" s="301">
        <f t="shared" si="0"/>
        <v>0</v>
      </c>
      <c r="AL69" s="301">
        <f t="shared" si="1"/>
        <v>0</v>
      </c>
      <c r="AM69" s="301"/>
      <c r="AN69" s="301"/>
      <c r="AO69" s="299"/>
      <c r="AP69" s="301"/>
      <c r="AQ69" s="301"/>
    </row>
    <row r="70" spans="2:43" ht="20.100000000000001" customHeight="1" x14ac:dyDescent="0.3">
      <c r="B70" s="92"/>
      <c r="C70" s="97" t="s">
        <v>332</v>
      </c>
      <c r="D70" s="98"/>
      <c r="E70" s="92"/>
      <c r="F70" s="92"/>
      <c r="G70" s="98"/>
      <c r="H70" s="98"/>
      <c r="I70" s="94"/>
      <c r="J70" s="92"/>
      <c r="K70" s="92"/>
      <c r="L70" s="92"/>
      <c r="M70" s="92"/>
      <c r="N70" s="92"/>
      <c r="O70" s="92"/>
      <c r="P70" s="92"/>
      <c r="Q70" s="92"/>
      <c r="R70" s="92"/>
      <c r="S70" s="92"/>
      <c r="T70" s="92"/>
      <c r="U70" s="92"/>
      <c r="V70" s="91"/>
      <c r="W70" s="102"/>
      <c r="X70" s="98"/>
      <c r="Y70" s="102"/>
      <c r="Z70" s="98"/>
      <c r="AA70" s="98"/>
      <c r="AB70" s="98"/>
      <c r="AC70" s="91"/>
      <c r="AD70" s="98"/>
      <c r="AE70" s="98"/>
      <c r="AF70" s="98"/>
      <c r="AG70" s="91"/>
      <c r="AH70" s="305"/>
      <c r="AI70" s="299"/>
      <c r="AK70" s="301">
        <f t="shared" si="0"/>
        <v>0</v>
      </c>
      <c r="AL70" s="301">
        <f t="shared" si="1"/>
        <v>0</v>
      </c>
      <c r="AM70" s="301"/>
      <c r="AN70" s="301">
        <f>+IF(D70=0.333,1.33,0)</f>
        <v>0</v>
      </c>
      <c r="AO70" s="299"/>
      <c r="AP70" s="301"/>
      <c r="AQ70" s="301"/>
    </row>
    <row r="71" spans="2:43" ht="20.100000000000001" customHeight="1" x14ac:dyDescent="0.3">
      <c r="B71" s="92"/>
      <c r="C71" s="95" t="s">
        <v>33</v>
      </c>
      <c r="D71" s="98">
        <v>0.66700000000000004</v>
      </c>
      <c r="E71" s="92">
        <v>1</v>
      </c>
      <c r="F71" s="92">
        <v>1</v>
      </c>
      <c r="G71" s="98">
        <f>+(2.135*3.281)</f>
        <v>7.0049349999999997</v>
      </c>
      <c r="H71" s="98">
        <f>+D71</f>
        <v>0.66700000000000004</v>
      </c>
      <c r="I71" s="94">
        <v>2</v>
      </c>
      <c r="J71" s="99">
        <v>3</v>
      </c>
      <c r="K71" s="100">
        <f>+IF(D71=0.667,E71*F71*G71*H71*J71,0)</f>
        <v>14.016874935000001</v>
      </c>
      <c r="L71" s="100">
        <f>+IF(D71=0.333,E71*F71*G71*J71,0)</f>
        <v>0</v>
      </c>
      <c r="M71" s="99">
        <v>4</v>
      </c>
      <c r="N71" s="100">
        <f>+IF(D71=0.667,E71*F71*G71*H71*M71,0)</f>
        <v>18.689166580000002</v>
      </c>
      <c r="O71" s="100">
        <f>+IF(D71=0.333,E71*F71*G71*M71,0)</f>
        <v>0</v>
      </c>
      <c r="P71" s="99">
        <f>12.5-I71-M71-J71</f>
        <v>3.5</v>
      </c>
      <c r="Q71" s="100">
        <f>+IF(D71=0.667,E71*F71*G71*H71*P71,0)</f>
        <v>16.353020757500001</v>
      </c>
      <c r="R71" s="100">
        <f>+IF(D71=0.333,E71*F71*G71*P71,0)</f>
        <v>0</v>
      </c>
      <c r="S71" s="101">
        <f t="shared" ref="S71:S74" si="55">+Q71+N71+K71</f>
        <v>49.0590622725</v>
      </c>
      <c r="T71" s="101">
        <f t="shared" ref="T71:T74" si="56">+R71+O71+L71</f>
        <v>0</v>
      </c>
      <c r="U71" s="92"/>
      <c r="V71" s="91"/>
      <c r="W71" s="102"/>
      <c r="X71" s="98"/>
      <c r="Y71" s="102"/>
      <c r="Z71" s="98"/>
      <c r="AA71" s="98"/>
      <c r="AB71" s="98"/>
      <c r="AC71" s="91"/>
      <c r="AD71" s="98"/>
      <c r="AE71" s="98"/>
      <c r="AF71" s="98"/>
      <c r="AG71" s="91"/>
      <c r="AH71" s="305">
        <v>1</v>
      </c>
      <c r="AI71" s="299">
        <f>+AH71*G71*D71*0.17</f>
        <v>0.79428957965000013</v>
      </c>
      <c r="AK71" s="301">
        <f t="shared" ref="AK71:AK83" si="57">+IF(D71=0.667,E71*F71*G71,0)</f>
        <v>7.0049349999999997</v>
      </c>
      <c r="AL71" s="301">
        <f t="shared" ref="AL71:AL83" si="58">+IF(D71=0.333,E71*F71*G71,0)</f>
        <v>0</v>
      </c>
      <c r="AM71" s="301"/>
      <c r="AN71" s="301">
        <f>+IF(D71=0.333,1.33,0)</f>
        <v>0</v>
      </c>
      <c r="AO71" s="299"/>
      <c r="AP71" s="301">
        <f>+S71</f>
        <v>49.0590622725</v>
      </c>
      <c r="AQ71" s="301"/>
    </row>
    <row r="72" spans="2:43" ht="20.100000000000001" customHeight="1" x14ac:dyDescent="0.3">
      <c r="B72" s="18"/>
      <c r="C72" s="62" t="s">
        <v>130</v>
      </c>
      <c r="D72" s="98">
        <v>0.66700000000000004</v>
      </c>
      <c r="E72" s="18">
        <v>-1</v>
      </c>
      <c r="F72" s="702">
        <v>1</v>
      </c>
      <c r="G72" s="20">
        <v>3</v>
      </c>
      <c r="H72" s="20">
        <f t="shared" ref="H72" si="59">+D72</f>
        <v>0.66700000000000004</v>
      </c>
      <c r="I72" s="21"/>
      <c r="J72" s="22">
        <v>3</v>
      </c>
      <c r="K72" s="103">
        <f t="shared" ref="K72" si="60">+IF(D72=0.667,E72*F72*G72*H72*J72,0)</f>
        <v>-6.003000000000001</v>
      </c>
      <c r="L72" s="103">
        <f t="shared" ref="L72" si="61">+IF(D72=0.333,E72*F72*G72*J72,0)</f>
        <v>0</v>
      </c>
      <c r="M72" s="81">
        <v>4</v>
      </c>
      <c r="N72" s="103">
        <f t="shared" ref="N72" si="62">+IF(D72=0.667,E72*F72*G72*H72*M72,0)</f>
        <v>-8.0040000000000013</v>
      </c>
      <c r="O72" s="103">
        <f t="shared" ref="O72" si="63">+IF(D72=0.333,E72*F72*G72*M72,0)</f>
        <v>0</v>
      </c>
      <c r="P72" s="81"/>
      <c r="Q72" s="103">
        <f t="shared" ref="Q72" si="64">+IF(D72=0.667,E72*F72*G72*H72*P72,0)</f>
        <v>0</v>
      </c>
      <c r="R72" s="103">
        <f t="shared" ref="R72" si="65">+IF(D72=0.333,E72*F72*G72*P72,0)</f>
        <v>0</v>
      </c>
      <c r="S72" s="104">
        <f t="shared" si="55"/>
        <v>-14.007000000000001</v>
      </c>
      <c r="T72" s="104">
        <f t="shared" si="56"/>
        <v>0</v>
      </c>
      <c r="U72" s="18"/>
      <c r="V72" s="26"/>
      <c r="W72" s="21">
        <f>+G72+D72</f>
        <v>3.6669999999999998</v>
      </c>
      <c r="X72" s="21">
        <v>0.5</v>
      </c>
      <c r="Y72" s="21">
        <f>+IF(D72=0.667,-E72*F72*H72*W72*X72,0)</f>
        <v>1.2229445000000001</v>
      </c>
      <c r="Z72" s="21">
        <f>+IF(D72=0.333,-E72*F72*H72*W72*X72,0)</f>
        <v>0</v>
      </c>
      <c r="AA72" s="21">
        <f>+F72*G72*H72</f>
        <v>2.0010000000000003</v>
      </c>
      <c r="AB72" s="21">
        <f t="shared" ref="AB72" si="66">2*F72*W72*X72</f>
        <v>3.6669999999999998</v>
      </c>
      <c r="AC72" s="27"/>
      <c r="AD72" s="21"/>
      <c r="AE72" s="21"/>
      <c r="AF72" s="21"/>
      <c r="AG72" s="27"/>
      <c r="AH72" s="306"/>
      <c r="AI72" s="299"/>
      <c r="AK72" s="301">
        <f t="shared" si="57"/>
        <v>-3</v>
      </c>
      <c r="AL72" s="301">
        <f t="shared" si="58"/>
        <v>0</v>
      </c>
      <c r="AM72" s="301"/>
      <c r="AN72" s="301"/>
      <c r="AO72" s="299"/>
      <c r="AP72" s="301">
        <f t="shared" ref="AP72:AP74" si="67">+S72</f>
        <v>-14.007000000000001</v>
      </c>
      <c r="AQ72" s="301"/>
    </row>
    <row r="73" spans="2:43" ht="20.100000000000001" customHeight="1" x14ac:dyDescent="0.3">
      <c r="B73" s="92"/>
      <c r="C73" s="95" t="s">
        <v>32</v>
      </c>
      <c r="D73" s="98">
        <v>0.66700000000000004</v>
      </c>
      <c r="E73" s="92">
        <v>1</v>
      </c>
      <c r="F73" s="92">
        <v>1</v>
      </c>
      <c r="G73" s="98">
        <f>(2.135)*3.281</f>
        <v>7.0049349999999997</v>
      </c>
      <c r="H73" s="98">
        <f>+D73</f>
        <v>0.66700000000000004</v>
      </c>
      <c r="I73" s="94">
        <v>2</v>
      </c>
      <c r="J73" s="99">
        <v>3</v>
      </c>
      <c r="K73" s="100">
        <f>+IF(D73=0.667,E73*F73*G73*H73*J73,0)</f>
        <v>14.016874935000001</v>
      </c>
      <c r="L73" s="100">
        <f>+IF(D73=0.333,E73*F73*G73*J73,0)</f>
        <v>0</v>
      </c>
      <c r="M73" s="99">
        <v>4</v>
      </c>
      <c r="N73" s="100">
        <f>+IF(D73=0.667,E73*F73*G73*H73*M73,0)</f>
        <v>18.689166580000002</v>
      </c>
      <c r="O73" s="100">
        <f>+IF(D73=0.333,E73*F73*G73*M73,0)</f>
        <v>0</v>
      </c>
      <c r="P73" s="99">
        <f>12.5-I73-M73-J73</f>
        <v>3.5</v>
      </c>
      <c r="Q73" s="100">
        <f>+IF(D73=0.667,E73*F73*G73*H73*P73,0)</f>
        <v>16.353020757500001</v>
      </c>
      <c r="R73" s="100">
        <f>+IF(D73=0.333,E73*F73*G73*P73,0)</f>
        <v>0</v>
      </c>
      <c r="S73" s="101">
        <f t="shared" si="55"/>
        <v>49.0590622725</v>
      </c>
      <c r="T73" s="101">
        <f t="shared" si="56"/>
        <v>0</v>
      </c>
      <c r="U73" s="92"/>
      <c r="V73" s="91"/>
      <c r="W73" s="102"/>
      <c r="X73" s="98"/>
      <c r="Y73" s="102"/>
      <c r="Z73" s="98"/>
      <c r="AA73" s="98"/>
      <c r="AB73" s="98"/>
      <c r="AC73" s="91"/>
      <c r="AD73" s="98"/>
      <c r="AE73" s="98"/>
      <c r="AF73" s="98"/>
      <c r="AG73" s="91"/>
      <c r="AH73" s="304">
        <v>1</v>
      </c>
      <c r="AI73" s="299">
        <f>+AH73*G73*D73*0.17</f>
        <v>0.79428957965000013</v>
      </c>
      <c r="AK73" s="301">
        <f t="shared" si="57"/>
        <v>7.0049349999999997</v>
      </c>
      <c r="AL73" s="301">
        <f t="shared" si="58"/>
        <v>0</v>
      </c>
      <c r="AM73" s="301"/>
      <c r="AN73" s="301"/>
      <c r="AO73" s="299"/>
      <c r="AP73" s="301">
        <f t="shared" si="67"/>
        <v>49.0590622725</v>
      </c>
      <c r="AQ73" s="301"/>
    </row>
    <row r="74" spans="2:43" ht="20.100000000000001" customHeight="1" x14ac:dyDescent="0.3">
      <c r="B74" s="92"/>
      <c r="C74" s="95" t="s">
        <v>38</v>
      </c>
      <c r="D74" s="98">
        <v>0.66700000000000004</v>
      </c>
      <c r="E74" s="92">
        <v>1</v>
      </c>
      <c r="F74" s="92">
        <v>1</v>
      </c>
      <c r="G74" s="98">
        <f>(1.8)*3.281</f>
        <v>5.9058000000000002</v>
      </c>
      <c r="H74" s="98">
        <f>+D74</f>
        <v>0.66700000000000004</v>
      </c>
      <c r="I74" s="94">
        <v>2</v>
      </c>
      <c r="J74" s="99">
        <v>3</v>
      </c>
      <c r="K74" s="100">
        <f>+IF(D74=0.667,E74*F74*G74*H74*J74,0)</f>
        <v>11.817505800000001</v>
      </c>
      <c r="L74" s="100">
        <f>+IF(D74=0.333,E74*F74*G74*J74,0)</f>
        <v>0</v>
      </c>
      <c r="M74" s="99">
        <v>4</v>
      </c>
      <c r="N74" s="100">
        <f>+IF(D74=0.667,E74*F74*G74*H74*M74,0)</f>
        <v>15.756674400000001</v>
      </c>
      <c r="O74" s="100">
        <f>+IF(D74=0.333,E74*F74*G74*M74,0)</f>
        <v>0</v>
      </c>
      <c r="P74" s="99">
        <f>12.5-I74-M74-J74</f>
        <v>3.5</v>
      </c>
      <c r="Q74" s="100">
        <f>+IF(D74=0.667,E74*F74*G74*H74*P74,0)</f>
        <v>13.7870901</v>
      </c>
      <c r="R74" s="100">
        <f>+IF(D74=0.333,E74*F74*G74*P74,0)</f>
        <v>0</v>
      </c>
      <c r="S74" s="101">
        <f t="shared" si="55"/>
        <v>41.361270300000001</v>
      </c>
      <c r="T74" s="101">
        <f t="shared" si="56"/>
        <v>0</v>
      </c>
      <c r="U74" s="92"/>
      <c r="V74" s="91"/>
      <c r="W74" s="102"/>
      <c r="X74" s="98"/>
      <c r="Y74" s="102"/>
      <c r="Z74" s="98"/>
      <c r="AA74" s="98"/>
      <c r="AB74" s="98"/>
      <c r="AC74" s="91"/>
      <c r="AD74" s="98"/>
      <c r="AE74" s="98"/>
      <c r="AF74" s="98"/>
      <c r="AG74" s="91"/>
      <c r="AH74" s="304">
        <v>1</v>
      </c>
      <c r="AI74" s="299">
        <f>+AH74*G74*D74*0.17</f>
        <v>0.66965866200000013</v>
      </c>
      <c r="AK74" s="301">
        <f t="shared" si="57"/>
        <v>5.9058000000000002</v>
      </c>
      <c r="AL74" s="301">
        <f t="shared" si="58"/>
        <v>0</v>
      </c>
      <c r="AM74" s="301"/>
      <c r="AN74" s="301"/>
      <c r="AO74" s="299"/>
      <c r="AP74" s="301">
        <f t="shared" si="67"/>
        <v>41.361270300000001</v>
      </c>
      <c r="AQ74" s="301"/>
    </row>
    <row r="75" spans="2:43" ht="20.100000000000001" customHeight="1" x14ac:dyDescent="0.3">
      <c r="B75" s="92"/>
      <c r="C75" s="97" t="s">
        <v>258</v>
      </c>
      <c r="D75" s="98"/>
      <c r="E75" s="92"/>
      <c r="F75" s="92"/>
      <c r="G75" s="98"/>
      <c r="H75" s="98"/>
      <c r="I75" s="94"/>
      <c r="J75" s="92"/>
      <c r="K75" s="92"/>
      <c r="L75" s="92"/>
      <c r="M75" s="92"/>
      <c r="N75" s="92"/>
      <c r="O75" s="92"/>
      <c r="P75" s="92"/>
      <c r="Q75" s="92"/>
      <c r="R75" s="92"/>
      <c r="S75" s="92"/>
      <c r="T75" s="92"/>
      <c r="U75" s="92"/>
      <c r="V75" s="91"/>
      <c r="W75" s="102"/>
      <c r="X75" s="98"/>
      <c r="Y75" s="102"/>
      <c r="Z75" s="98"/>
      <c r="AA75" s="98"/>
      <c r="AB75" s="98"/>
      <c r="AC75" s="91"/>
      <c r="AD75" s="98"/>
      <c r="AE75" s="98"/>
      <c r="AF75" s="98"/>
      <c r="AG75" s="91"/>
      <c r="AH75" s="305"/>
      <c r="AI75" s="299"/>
      <c r="AK75" s="301">
        <f t="shared" si="57"/>
        <v>0</v>
      </c>
      <c r="AL75" s="301">
        <f t="shared" si="58"/>
        <v>0</v>
      </c>
      <c r="AM75" s="301"/>
      <c r="AN75" s="301">
        <f>+IF(D75=0.333,1.33,0)</f>
        <v>0</v>
      </c>
      <c r="AO75" s="299"/>
      <c r="AP75" s="301">
        <f t="shared" ref="AP75" si="68">+S75</f>
        <v>0</v>
      </c>
      <c r="AQ75" s="301"/>
    </row>
    <row r="76" spans="2:43" ht="20.100000000000001" customHeight="1" x14ac:dyDescent="0.3">
      <c r="B76" s="92"/>
      <c r="C76" s="95" t="s">
        <v>33</v>
      </c>
      <c r="D76" s="98">
        <v>0.66700000000000004</v>
      </c>
      <c r="E76" s="92">
        <v>1</v>
      </c>
      <c r="F76" s="92">
        <v>1</v>
      </c>
      <c r="G76" s="98">
        <f>+(2.135*3.281)</f>
        <v>7.0049349999999997</v>
      </c>
      <c r="H76" s="98">
        <f>+D76</f>
        <v>0.66700000000000004</v>
      </c>
      <c r="I76" s="94">
        <v>2</v>
      </c>
      <c r="J76" s="99">
        <v>3</v>
      </c>
      <c r="K76" s="100">
        <f>+IF(D76=0.667,E76*F76*G76*H76*J76,0)</f>
        <v>14.016874935000001</v>
      </c>
      <c r="L76" s="100">
        <f>+IF(D76=0.333,E76*F76*G76*J76,0)</f>
        <v>0</v>
      </c>
      <c r="M76" s="99">
        <v>4</v>
      </c>
      <c r="N76" s="100">
        <f>+IF(D76=0.667,E76*F76*G76*H76*M76,0)</f>
        <v>18.689166580000002</v>
      </c>
      <c r="O76" s="100">
        <f>+IF(D76=0.333,E76*F76*G76*M76,0)</f>
        <v>0</v>
      </c>
      <c r="P76" s="99">
        <f>12.5-I76-M76-J76</f>
        <v>3.5</v>
      </c>
      <c r="Q76" s="100">
        <f>+IF(D76=0.667,E76*F76*G76*H76*P76,0)</f>
        <v>16.353020757500001</v>
      </c>
      <c r="R76" s="100">
        <f>+IF(D76=0.333,E76*F76*G76*P76,0)</f>
        <v>0</v>
      </c>
      <c r="S76" s="101">
        <f t="shared" ref="S76:S78" si="69">+Q76+N76+K76</f>
        <v>49.0590622725</v>
      </c>
      <c r="T76" s="101">
        <f t="shared" ref="T76:T78" si="70">+R76+O76+L76</f>
        <v>0</v>
      </c>
      <c r="U76" s="92"/>
      <c r="V76" s="91"/>
      <c r="W76" s="102"/>
      <c r="X76" s="98"/>
      <c r="Y76" s="102"/>
      <c r="Z76" s="98"/>
      <c r="AA76" s="98"/>
      <c r="AB76" s="98"/>
      <c r="AC76" s="91"/>
      <c r="AD76" s="98"/>
      <c r="AE76" s="98"/>
      <c r="AF76" s="98"/>
      <c r="AG76" s="91"/>
      <c r="AH76" s="305">
        <v>1</v>
      </c>
      <c r="AI76" s="299">
        <f>+AH76*G76*D76*0.17</f>
        <v>0.79428957965000013</v>
      </c>
      <c r="AK76" s="301">
        <f t="shared" si="57"/>
        <v>7.0049349999999997</v>
      </c>
      <c r="AL76" s="301">
        <f t="shared" si="58"/>
        <v>0</v>
      </c>
      <c r="AM76" s="301"/>
      <c r="AN76" s="301">
        <f>+IF(D76=0.333,1.33,0)</f>
        <v>0</v>
      </c>
      <c r="AO76" s="299"/>
      <c r="AP76" s="301">
        <f>+S76</f>
        <v>49.0590622725</v>
      </c>
      <c r="AQ76" s="301"/>
    </row>
    <row r="77" spans="2:43" ht="20.100000000000001" customHeight="1" x14ac:dyDescent="0.3">
      <c r="B77" s="92"/>
      <c r="C77" s="95" t="s">
        <v>38</v>
      </c>
      <c r="D77" s="98">
        <v>0.66700000000000004</v>
      </c>
      <c r="E77" s="92">
        <v>1</v>
      </c>
      <c r="F77" s="92">
        <v>1</v>
      </c>
      <c r="G77" s="98">
        <f>(1.8)*3.281</f>
        <v>5.9058000000000002</v>
      </c>
      <c r="H77" s="98">
        <f>+D77</f>
        <v>0.66700000000000004</v>
      </c>
      <c r="I77" s="94">
        <v>2</v>
      </c>
      <c r="J77" s="99">
        <v>3</v>
      </c>
      <c r="K77" s="100">
        <f>+IF(D77=0.667,E77*F77*G77*H77*J77,0)</f>
        <v>11.817505800000001</v>
      </c>
      <c r="L77" s="100">
        <f>+IF(D77=0.333,E77*F77*G77*J77,0)</f>
        <v>0</v>
      </c>
      <c r="M77" s="99">
        <v>4</v>
      </c>
      <c r="N77" s="100">
        <f>+IF(D77=0.667,E77*F77*G77*H77*M77,0)</f>
        <v>15.756674400000001</v>
      </c>
      <c r="O77" s="100">
        <f>+IF(D77=0.333,E77*F77*G77*M77,0)</f>
        <v>0</v>
      </c>
      <c r="P77" s="99">
        <f>12.5-I77-M77-J77</f>
        <v>3.5</v>
      </c>
      <c r="Q77" s="100">
        <f>+IF(D77=0.667,E77*F77*G77*H77*P77,0)</f>
        <v>13.7870901</v>
      </c>
      <c r="R77" s="100">
        <f>+IF(D77=0.333,E77*F77*G77*P77,0)</f>
        <v>0</v>
      </c>
      <c r="S77" s="101">
        <f t="shared" si="69"/>
        <v>41.361270300000001</v>
      </c>
      <c r="T77" s="101">
        <f t="shared" si="70"/>
        <v>0</v>
      </c>
      <c r="U77" s="92"/>
      <c r="V77" s="91"/>
      <c r="W77" s="102"/>
      <c r="X77" s="98"/>
      <c r="Y77" s="102"/>
      <c r="Z77" s="98"/>
      <c r="AA77" s="98"/>
      <c r="AB77" s="98"/>
      <c r="AC77" s="91"/>
      <c r="AD77" s="98"/>
      <c r="AE77" s="98"/>
      <c r="AF77" s="98"/>
      <c r="AG77" s="91"/>
      <c r="AH77" s="304">
        <v>1</v>
      </c>
      <c r="AI77" s="299">
        <f>+AH77*G77*D77*0.17</f>
        <v>0.66965866200000013</v>
      </c>
      <c r="AK77" s="301">
        <f t="shared" si="57"/>
        <v>5.9058000000000002</v>
      </c>
      <c r="AL77" s="301">
        <f t="shared" si="58"/>
        <v>0</v>
      </c>
      <c r="AM77" s="301"/>
      <c r="AN77" s="301"/>
      <c r="AO77" s="299"/>
      <c r="AP77" s="301">
        <f>+S77</f>
        <v>41.361270300000001</v>
      </c>
      <c r="AQ77" s="301"/>
    </row>
    <row r="78" spans="2:43" ht="20.100000000000001" customHeight="1" x14ac:dyDescent="0.3">
      <c r="B78" s="92"/>
      <c r="C78" s="95" t="s">
        <v>32</v>
      </c>
      <c r="D78" s="98">
        <v>0.66700000000000004</v>
      </c>
      <c r="E78" s="92">
        <v>1</v>
      </c>
      <c r="F78" s="92">
        <v>1</v>
      </c>
      <c r="G78" s="98">
        <f>(2.135)*3.281</f>
        <v>7.0049349999999997</v>
      </c>
      <c r="H78" s="98">
        <f>+D78</f>
        <v>0.66700000000000004</v>
      </c>
      <c r="I78" s="94">
        <v>2</v>
      </c>
      <c r="J78" s="99">
        <v>3</v>
      </c>
      <c r="K78" s="100">
        <f>+IF(D78=0.667,E78*F78*G78*H78*J78,0)</f>
        <v>14.016874935000001</v>
      </c>
      <c r="L78" s="100">
        <f>+IF(D78=0.333,E78*F78*G78*J78,0)</f>
        <v>0</v>
      </c>
      <c r="M78" s="99">
        <v>4</v>
      </c>
      <c r="N78" s="100">
        <f>+IF(D78=0.667,E78*F78*G78*H78*M78,0)</f>
        <v>18.689166580000002</v>
      </c>
      <c r="O78" s="100">
        <f>+IF(D78=0.333,E78*F78*G78*M78,0)</f>
        <v>0</v>
      </c>
      <c r="P78" s="99">
        <f>12.5-I78-M78-J78</f>
        <v>3.5</v>
      </c>
      <c r="Q78" s="100">
        <f>+IF(D78=0.667,E78*F78*G78*H78*P78,0)</f>
        <v>16.353020757500001</v>
      </c>
      <c r="R78" s="100">
        <f>+IF(D78=0.333,E78*F78*G78*P78,0)</f>
        <v>0</v>
      </c>
      <c r="S78" s="101">
        <f t="shared" si="69"/>
        <v>49.0590622725</v>
      </c>
      <c r="T78" s="101">
        <f t="shared" si="70"/>
        <v>0</v>
      </c>
      <c r="U78" s="92"/>
      <c r="V78" s="91"/>
      <c r="W78" s="102"/>
      <c r="X78" s="98"/>
      <c r="Y78" s="102"/>
      <c r="Z78" s="98"/>
      <c r="AA78" s="98"/>
      <c r="AB78" s="98"/>
      <c r="AC78" s="91"/>
      <c r="AD78" s="98"/>
      <c r="AE78" s="98"/>
      <c r="AF78" s="98"/>
      <c r="AG78" s="91"/>
      <c r="AH78" s="304">
        <v>1</v>
      </c>
      <c r="AI78" s="299">
        <f>+AH78*G78*D78*0.17</f>
        <v>0.79428957965000013</v>
      </c>
      <c r="AK78" s="301">
        <f t="shared" si="57"/>
        <v>7.0049349999999997</v>
      </c>
      <c r="AL78" s="301">
        <f t="shared" si="58"/>
        <v>0</v>
      </c>
      <c r="AM78" s="301"/>
      <c r="AN78" s="301"/>
      <c r="AO78" s="299"/>
      <c r="AP78" s="301">
        <f>+S78</f>
        <v>49.0590622725</v>
      </c>
      <c r="AQ78" s="301"/>
    </row>
    <row r="79" spans="2:43" ht="20.100000000000001" customHeight="1" x14ac:dyDescent="0.3">
      <c r="B79" s="92"/>
      <c r="C79" s="97" t="s">
        <v>331</v>
      </c>
      <c r="D79" s="98"/>
      <c r="E79" s="92"/>
      <c r="F79" s="92"/>
      <c r="G79" s="98"/>
      <c r="H79" s="98"/>
      <c r="I79" s="94"/>
      <c r="J79" s="92"/>
      <c r="K79" s="92"/>
      <c r="L79" s="92"/>
      <c r="M79" s="92"/>
      <c r="N79" s="92"/>
      <c r="O79" s="92"/>
      <c r="P79" s="92"/>
      <c r="Q79" s="92"/>
      <c r="R79" s="92"/>
      <c r="S79" s="92"/>
      <c r="T79" s="92"/>
      <c r="U79" s="92"/>
      <c r="V79" s="91"/>
      <c r="W79" s="102"/>
      <c r="X79" s="98"/>
      <c r="Y79" s="102"/>
      <c r="Z79" s="98"/>
      <c r="AA79" s="98"/>
      <c r="AB79" s="98"/>
      <c r="AC79" s="91"/>
      <c r="AD79" s="98"/>
      <c r="AE79" s="98"/>
      <c r="AF79" s="98"/>
      <c r="AG79" s="91"/>
      <c r="AH79" s="305"/>
      <c r="AI79" s="299"/>
      <c r="AK79" s="301">
        <f t="shared" si="57"/>
        <v>0</v>
      </c>
      <c r="AL79" s="301">
        <f t="shared" si="58"/>
        <v>0</v>
      </c>
      <c r="AM79" s="301"/>
      <c r="AN79" s="301">
        <f>+IF(D79=0.333,1.33,0)</f>
        <v>0</v>
      </c>
      <c r="AO79" s="299"/>
      <c r="AP79" s="301"/>
      <c r="AQ79" s="301"/>
    </row>
    <row r="80" spans="2:43" ht="20.100000000000001" customHeight="1" x14ac:dyDescent="0.3">
      <c r="B80" s="92"/>
      <c r="C80" s="95" t="s">
        <v>32</v>
      </c>
      <c r="D80" s="98">
        <v>0.66700000000000004</v>
      </c>
      <c r="E80" s="92">
        <v>1</v>
      </c>
      <c r="F80" s="92">
        <v>1</v>
      </c>
      <c r="G80" s="98">
        <f>(1.177+0.901+0.674+1.177)*3.281</f>
        <v>12.891049000000001</v>
      </c>
      <c r="H80" s="98">
        <f>+D80</f>
        <v>0.66700000000000004</v>
      </c>
      <c r="I80" s="94">
        <v>2</v>
      </c>
      <c r="J80" s="99">
        <v>3</v>
      </c>
      <c r="K80" s="100">
        <f>+IF(D80=0.667,E80*F80*G80*H80*J80,0)</f>
        <v>25.794989049000002</v>
      </c>
      <c r="L80" s="100">
        <f>+IF(D80=0.333,E80*F80*G80*J80,0)</f>
        <v>0</v>
      </c>
      <c r="M80" s="99">
        <v>4</v>
      </c>
      <c r="N80" s="100">
        <f>+IF(D80=0.667,E80*F80*G80*H80*M80,0)</f>
        <v>34.393318732000004</v>
      </c>
      <c r="O80" s="100">
        <f>+IF(D80=0.333,E80*F80*G80*M80,0)</f>
        <v>0</v>
      </c>
      <c r="P80" s="99">
        <f>12.5-I80-M80-J80</f>
        <v>3.5</v>
      </c>
      <c r="Q80" s="100">
        <f>+IF(D80=0.667,E80*F80*G80*H80*P80,0)</f>
        <v>30.094153890500003</v>
      </c>
      <c r="R80" s="100">
        <f>+IF(D80=0.333,E80*F80*G80*P80,0)</f>
        <v>0</v>
      </c>
      <c r="S80" s="101">
        <f t="shared" ref="S80" si="71">+Q80+N80+K80</f>
        <v>90.282461671500016</v>
      </c>
      <c r="T80" s="101">
        <f t="shared" ref="T80" si="72">+R80+O80+L80</f>
        <v>0</v>
      </c>
      <c r="U80" s="92"/>
      <c r="V80" s="91"/>
      <c r="W80" s="102"/>
      <c r="X80" s="98"/>
      <c r="Y80" s="102"/>
      <c r="Z80" s="98"/>
      <c r="AA80" s="98"/>
      <c r="AB80" s="98"/>
      <c r="AC80" s="91"/>
      <c r="AD80" s="98"/>
      <c r="AE80" s="98"/>
      <c r="AF80" s="98"/>
      <c r="AG80" s="91"/>
      <c r="AH80" s="305">
        <v>1</v>
      </c>
      <c r="AI80" s="299">
        <f>+AH80*G80*D80*0.17</f>
        <v>1.4617160461100003</v>
      </c>
      <c r="AK80" s="301">
        <f t="shared" si="57"/>
        <v>12.891049000000001</v>
      </c>
      <c r="AL80" s="301">
        <f t="shared" si="58"/>
        <v>0</v>
      </c>
      <c r="AM80" s="301"/>
      <c r="AN80" s="301">
        <f>+IF(D80=0.333,1.33,0)</f>
        <v>0</v>
      </c>
      <c r="AO80" s="299"/>
      <c r="AP80" s="301"/>
      <c r="AQ80" s="301"/>
    </row>
    <row r="81" spans="2:44" ht="20.100000000000001" customHeight="1" x14ac:dyDescent="0.3">
      <c r="B81" s="369"/>
      <c r="C81" s="370"/>
      <c r="D81" s="371"/>
      <c r="E81" s="369"/>
      <c r="F81" s="369"/>
      <c r="G81" s="371"/>
      <c r="H81" s="371"/>
      <c r="I81" s="372"/>
      <c r="J81" s="92"/>
      <c r="K81" s="92"/>
      <c r="L81" s="92"/>
      <c r="M81" s="92"/>
      <c r="N81" s="92"/>
      <c r="O81" s="92"/>
      <c r="P81" s="92"/>
      <c r="Q81" s="92"/>
      <c r="R81" s="92"/>
      <c r="S81" s="92"/>
      <c r="T81" s="92"/>
      <c r="U81" s="369"/>
      <c r="V81" s="373"/>
      <c r="W81" s="374"/>
      <c r="X81" s="371"/>
      <c r="Y81" s="374"/>
      <c r="Z81" s="371"/>
      <c r="AA81" s="371"/>
      <c r="AB81" s="371"/>
      <c r="AC81" s="373"/>
      <c r="AD81" s="371"/>
      <c r="AE81" s="371"/>
      <c r="AF81" s="371"/>
      <c r="AG81" s="373"/>
      <c r="AH81" s="376"/>
      <c r="AI81" s="374"/>
      <c r="AK81" s="301">
        <f t="shared" si="57"/>
        <v>0</v>
      </c>
      <c r="AL81" s="301">
        <f t="shared" si="58"/>
        <v>0</v>
      </c>
      <c r="AM81" s="378"/>
      <c r="AN81" s="378"/>
      <c r="AO81" s="374"/>
      <c r="AP81" s="378"/>
      <c r="AQ81" s="378"/>
    </row>
    <row r="82" spans="2:44" ht="20.100000000000001" customHeight="1" x14ac:dyDescent="0.3">
      <c r="B82" s="92"/>
      <c r="C82" s="97" t="s">
        <v>43</v>
      </c>
      <c r="D82" s="98"/>
      <c r="E82" s="92"/>
      <c r="F82" s="92"/>
      <c r="G82" s="98"/>
      <c r="H82" s="98"/>
      <c r="I82" s="94"/>
      <c r="J82" s="92"/>
      <c r="K82" s="92"/>
      <c r="L82" s="92"/>
      <c r="M82" s="92"/>
      <c r="N82" s="92"/>
      <c r="O82" s="92"/>
      <c r="P82" s="92"/>
      <c r="Q82" s="92"/>
      <c r="R82" s="92"/>
      <c r="S82" s="92"/>
      <c r="T82" s="92"/>
      <c r="U82" s="92"/>
      <c r="V82" s="91"/>
      <c r="W82" s="102"/>
      <c r="X82" s="98"/>
      <c r="Y82" s="102"/>
      <c r="Z82" s="98"/>
      <c r="AA82" s="98"/>
      <c r="AB82" s="98"/>
      <c r="AC82" s="91"/>
      <c r="AD82" s="98"/>
      <c r="AE82" s="98"/>
      <c r="AF82" s="98"/>
      <c r="AG82" s="91"/>
      <c r="AH82" s="305"/>
      <c r="AI82" s="299"/>
      <c r="AK82" s="301">
        <f t="shared" si="57"/>
        <v>0</v>
      </c>
      <c r="AL82" s="301">
        <f t="shared" si="58"/>
        <v>0</v>
      </c>
      <c r="AM82" s="301"/>
      <c r="AN82" s="301">
        <f>+IF(D82=0.333,1.33,0)</f>
        <v>0</v>
      </c>
      <c r="AO82" s="299"/>
      <c r="AP82" s="301"/>
      <c r="AQ82" s="301"/>
    </row>
    <row r="83" spans="2:44" ht="20.100000000000001" customHeight="1" x14ac:dyDescent="0.3">
      <c r="B83" s="92"/>
      <c r="C83" s="95" t="s">
        <v>32</v>
      </c>
      <c r="D83" s="98">
        <v>0.33300000000000002</v>
      </c>
      <c r="E83" s="92">
        <v>1</v>
      </c>
      <c r="F83" s="92">
        <v>1</v>
      </c>
      <c r="G83" s="98">
        <f>(0.59+1.725+0.915)*3.281</f>
        <v>10.597630000000001</v>
      </c>
      <c r="H83" s="98">
        <f>+D83</f>
        <v>0.33300000000000002</v>
      </c>
      <c r="I83" s="94">
        <v>2</v>
      </c>
      <c r="J83" s="99">
        <v>3</v>
      </c>
      <c r="K83" s="100">
        <f>+IF(D83=0.667,E83*F83*G83*H83*J83,0)</f>
        <v>0</v>
      </c>
      <c r="L83" s="100">
        <f>+IF(D83=0.333,E83*F83*G83*J83,0)</f>
        <v>31.79289</v>
      </c>
      <c r="M83" s="99">
        <v>4</v>
      </c>
      <c r="N83" s="100">
        <f>+IF(D83=0.667,E83*F83*G83*H83*M83,0)</f>
        <v>0</v>
      </c>
      <c r="O83" s="100">
        <f>+IF(D83=0.333,E83*F83*G83*M83,0)</f>
        <v>42.390520000000002</v>
      </c>
      <c r="P83" s="99">
        <f>12.5-I83-M83-J83</f>
        <v>3.5</v>
      </c>
      <c r="Q83" s="100">
        <f>+IF(D83=0.667,E83*F83*G83*H83*P83,0)</f>
        <v>0</v>
      </c>
      <c r="R83" s="100">
        <f>+IF(D83=0.333,E83*F83*G83*P83,0)</f>
        <v>37.091705000000005</v>
      </c>
      <c r="S83" s="101">
        <f t="shared" ref="S83" si="73">+Q83+N83+K83</f>
        <v>0</v>
      </c>
      <c r="T83" s="101">
        <f t="shared" ref="T83" si="74">+R83+O83+L83</f>
        <v>111.275115</v>
      </c>
      <c r="U83" s="92"/>
      <c r="V83" s="91"/>
      <c r="W83" s="102"/>
      <c r="X83" s="98"/>
      <c r="Y83" s="102"/>
      <c r="Z83" s="98"/>
      <c r="AA83" s="98"/>
      <c r="AB83" s="98"/>
      <c r="AC83" s="91"/>
      <c r="AD83" s="98"/>
      <c r="AE83" s="98"/>
      <c r="AF83" s="98"/>
      <c r="AG83" s="91"/>
      <c r="AH83" s="305">
        <v>1</v>
      </c>
      <c r="AI83" s="299">
        <f>+AH83*G83*D83*0.17</f>
        <v>0.59993183430000008</v>
      </c>
      <c r="AK83" s="301">
        <f t="shared" si="57"/>
        <v>0</v>
      </c>
      <c r="AL83" s="301">
        <f t="shared" si="58"/>
        <v>10.597630000000001</v>
      </c>
      <c r="AM83" s="301"/>
      <c r="AN83" s="301"/>
      <c r="AO83" s="299"/>
      <c r="AP83" s="301"/>
      <c r="AQ83" s="301"/>
    </row>
    <row r="84" spans="2:44" ht="20.100000000000001" customHeight="1" x14ac:dyDescent="0.3">
      <c r="B84" s="369"/>
      <c r="C84" s="370"/>
      <c r="D84" s="371"/>
      <c r="E84" s="369"/>
      <c r="F84" s="369"/>
      <c r="G84" s="371"/>
      <c r="H84" s="371"/>
      <c r="I84" s="372"/>
      <c r="J84" s="92"/>
      <c r="K84" s="92"/>
      <c r="L84" s="92"/>
      <c r="M84" s="92"/>
      <c r="N84" s="92"/>
      <c r="O84" s="92"/>
      <c r="P84" s="92"/>
      <c r="Q84" s="92"/>
      <c r="R84" s="92"/>
      <c r="S84" s="92"/>
      <c r="T84" s="92"/>
      <c r="U84" s="369"/>
      <c r="V84" s="373"/>
      <c r="W84" s="374"/>
      <c r="X84" s="371"/>
      <c r="Y84" s="374"/>
      <c r="Z84" s="371"/>
      <c r="AA84" s="371"/>
      <c r="AB84" s="371"/>
      <c r="AC84" s="373"/>
      <c r="AD84" s="371"/>
      <c r="AE84" s="371"/>
      <c r="AF84" s="371"/>
      <c r="AG84" s="373"/>
      <c r="AH84" s="376"/>
      <c r="AI84" s="374"/>
      <c r="AK84" s="302">
        <f t="shared" ref="AK84:AQ84" si="75">SUM(AK5:AK83)</f>
        <v>399.19748699999991</v>
      </c>
      <c r="AL84" s="302">
        <f t="shared" si="75"/>
        <v>26.999349000000002</v>
      </c>
      <c r="AM84" s="302">
        <f t="shared" si="75"/>
        <v>3.99</v>
      </c>
      <c r="AN84" s="302">
        <f t="shared" si="75"/>
        <v>0</v>
      </c>
      <c r="AO84" s="302">
        <f t="shared" si="75"/>
        <v>0</v>
      </c>
      <c r="AP84" s="302">
        <f t="shared" si="75"/>
        <v>917.56047096000009</v>
      </c>
      <c r="AQ84" s="302">
        <f t="shared" si="75"/>
        <v>0</v>
      </c>
    </row>
    <row r="85" spans="2:44" ht="20.100000000000001" customHeight="1" x14ac:dyDescent="0.3">
      <c r="B85" s="92"/>
      <c r="C85" s="95"/>
      <c r="D85" s="98"/>
      <c r="E85" s="92"/>
      <c r="F85" s="92"/>
      <c r="G85" s="98"/>
      <c r="H85" s="98"/>
      <c r="I85" s="94"/>
      <c r="J85" s="92"/>
      <c r="K85" s="92"/>
      <c r="L85" s="92"/>
      <c r="M85" s="92"/>
      <c r="N85" s="92"/>
      <c r="O85" s="92"/>
      <c r="P85" s="92"/>
      <c r="Q85" s="92"/>
      <c r="R85" s="92"/>
      <c r="S85" s="92"/>
      <c r="T85" s="92"/>
      <c r="U85" s="92"/>
      <c r="V85" s="91"/>
      <c r="W85" s="102"/>
      <c r="X85" s="98"/>
      <c r="Y85" s="102"/>
      <c r="Z85" s="98"/>
      <c r="AA85" s="98"/>
      <c r="AB85" s="98"/>
      <c r="AC85" s="91"/>
      <c r="AD85" s="98"/>
      <c r="AE85" s="98"/>
      <c r="AF85" s="98"/>
      <c r="AG85" s="91"/>
      <c r="AH85" s="300"/>
      <c r="AI85" s="301"/>
      <c r="AK85" s="379">
        <f>AK84*0.667*0.667</f>
        <v>177.59857079394297</v>
      </c>
      <c r="AL85" s="379"/>
      <c r="AM85" s="357">
        <f>0.667*(7-0.667)*AM84*2</f>
        <v>33.708405780000007</v>
      </c>
      <c r="AN85" s="357"/>
      <c r="AO85" s="310"/>
      <c r="AP85" s="357">
        <f>+AP84</f>
        <v>917.56047096000009</v>
      </c>
      <c r="AQ85" s="357"/>
    </row>
    <row r="86" spans="2:44" ht="20.100000000000001" customHeight="1" x14ac:dyDescent="0.3">
      <c r="B86" s="18"/>
      <c r="C86" s="19" t="s">
        <v>248</v>
      </c>
      <c r="D86" s="20"/>
      <c r="E86" s="18"/>
      <c r="F86" s="18"/>
      <c r="G86" s="20"/>
      <c r="H86" s="20"/>
      <c r="I86" s="21"/>
      <c r="J86" s="81"/>
      <c r="K86" s="23">
        <f>SUM(K8:K85)</f>
        <v>798.79417148700031</v>
      </c>
      <c r="L86" s="23">
        <f>SUM(L8:L85)</f>
        <v>80.998047000000014</v>
      </c>
      <c r="M86" s="24"/>
      <c r="N86" s="23">
        <f>SUM(N8:N85)</f>
        <v>1065.058895316</v>
      </c>
      <c r="O86" s="23">
        <f>SUM(O8:O85)</f>
        <v>107.99739600000001</v>
      </c>
      <c r="P86" s="24"/>
      <c r="Q86" s="23">
        <f>SUM(Q8:Q85)</f>
        <v>972.19665840149992</v>
      </c>
      <c r="R86" s="23">
        <f>SUM(R8:R85)</f>
        <v>94.497721500000011</v>
      </c>
      <c r="S86" s="23">
        <f>SUM(S8:S85)</f>
        <v>2836.0497252044997</v>
      </c>
      <c r="T86" s="23">
        <f>SUM(T8:T85)</f>
        <v>283.49316450000003</v>
      </c>
      <c r="U86" s="18"/>
      <c r="V86" s="26"/>
      <c r="W86" s="21"/>
      <c r="X86" s="21"/>
      <c r="Y86" s="23">
        <f>SUM(Y8:Y85)</f>
        <v>7.7548755000000007</v>
      </c>
      <c r="Z86" s="23">
        <f>SUM(Z8:Z85)</f>
        <v>0</v>
      </c>
      <c r="AA86" s="23">
        <f>SUM(AA8:AA85)</f>
        <v>11.505750000000003</v>
      </c>
      <c r="AB86" s="23">
        <f>SUM(AB8:AB85)</f>
        <v>23.253</v>
      </c>
      <c r="AC86" s="27"/>
      <c r="AD86" s="21"/>
      <c r="AE86" s="23">
        <f>SUM(AE8:AE85)</f>
        <v>0</v>
      </c>
      <c r="AF86" s="23">
        <f>SUM(AF8:AF85)</f>
        <v>0</v>
      </c>
      <c r="AG86" s="27"/>
      <c r="AH86" s="23">
        <f>SUM(AH8:AH85)</f>
        <v>40</v>
      </c>
      <c r="AI86" s="23">
        <f>SUM(AI8:AI85)</f>
        <v>48.749413697820017</v>
      </c>
      <c r="AK86" s="380"/>
      <c r="AL86" s="380">
        <f>AL84*0.667</f>
        <v>18.008565783000002</v>
      </c>
      <c r="AM86" s="358"/>
      <c r="AN86" s="358">
        <f>(7-0.667)*AN84*2</f>
        <v>0</v>
      </c>
      <c r="AO86" s="359">
        <f>+AO84*(3-0.667)</f>
        <v>0</v>
      </c>
      <c r="AP86" s="358"/>
      <c r="AQ86" s="358">
        <f>1.33*(7-0.667)*AQ84</f>
        <v>0</v>
      </c>
    </row>
    <row r="87" spans="2:44" ht="20.100000000000001" customHeight="1" x14ac:dyDescent="0.3">
      <c r="J87" s="105"/>
      <c r="K87" s="105"/>
      <c r="L87" s="105"/>
      <c r="Z87" s="167"/>
      <c r="AF87" s="167"/>
      <c r="AK87" s="382"/>
      <c r="AL87" s="382"/>
      <c r="AM87" s="382"/>
      <c r="AN87" s="382"/>
      <c r="AO87" s="383"/>
      <c r="AP87" s="382"/>
      <c r="AQ87" s="382"/>
    </row>
    <row r="88" spans="2:44" ht="20.100000000000001" customHeight="1" x14ac:dyDescent="0.3">
      <c r="J88" s="105"/>
      <c r="K88" s="105"/>
      <c r="L88" s="105"/>
      <c r="Z88" s="384"/>
      <c r="AA88" s="88"/>
      <c r="AB88" s="88"/>
      <c r="AC88" s="86"/>
      <c r="AD88" s="88"/>
      <c r="AE88" s="88"/>
      <c r="AF88" s="385"/>
      <c r="AG88" s="86"/>
      <c r="AK88" s="90"/>
      <c r="AL88" s="90"/>
      <c r="AM88" s="90"/>
      <c r="AN88" s="90"/>
      <c r="AO88" s="386"/>
      <c r="AP88" s="90"/>
      <c r="AQ88" s="90"/>
    </row>
    <row r="89" spans="2:44" ht="20.100000000000001" customHeight="1" x14ac:dyDescent="0.3">
      <c r="B89" s="772" t="s">
        <v>243</v>
      </c>
      <c r="C89" s="773"/>
      <c r="D89" s="773"/>
      <c r="E89" s="773"/>
      <c r="F89" s="773"/>
      <c r="G89" s="258"/>
      <c r="H89" s="258"/>
      <c r="I89" s="386"/>
      <c r="J89" s="386"/>
      <c r="K89" s="774" t="s">
        <v>25</v>
      </c>
      <c r="L89" s="775"/>
      <c r="M89" s="386"/>
      <c r="N89" s="774" t="s">
        <v>26</v>
      </c>
      <c r="O89" s="775"/>
      <c r="P89" s="386"/>
      <c r="Q89" s="774" t="s">
        <v>27</v>
      </c>
      <c r="R89" s="775"/>
      <c r="S89" s="774" t="s">
        <v>10</v>
      </c>
      <c r="T89" s="775"/>
      <c r="U89" s="258"/>
      <c r="V89" s="61"/>
      <c r="W89" s="384"/>
      <c r="X89" s="384"/>
      <c r="Y89" s="776"/>
      <c r="Z89" s="776"/>
      <c r="AA89" s="776"/>
      <c r="AB89" s="776"/>
      <c r="AC89" s="387"/>
      <c r="AD89" s="384"/>
      <c r="AE89" s="384"/>
      <c r="AF89" s="384"/>
      <c r="AG89" s="387"/>
      <c r="AH89" s="384"/>
      <c r="AI89" s="384"/>
      <c r="AK89" s="777" t="s">
        <v>313</v>
      </c>
      <c r="AL89" s="777"/>
      <c r="AM89" s="86"/>
      <c r="AN89" s="86"/>
      <c r="AP89" s="86"/>
      <c r="AQ89" s="86"/>
    </row>
    <row r="90" spans="2:44" ht="50.25" customHeight="1" x14ac:dyDescent="0.3">
      <c r="B90" s="313" t="s">
        <v>0</v>
      </c>
      <c r="C90" s="313" t="s">
        <v>28</v>
      </c>
      <c r="D90" s="313" t="s">
        <v>2</v>
      </c>
      <c r="E90" s="769" t="s">
        <v>3</v>
      </c>
      <c r="F90" s="769"/>
      <c r="G90" s="313"/>
      <c r="H90" s="313"/>
      <c r="I90" s="312"/>
      <c r="J90" s="312"/>
      <c r="K90" s="312" t="s">
        <v>19</v>
      </c>
      <c r="L90" s="312" t="s">
        <v>20</v>
      </c>
      <c r="M90" s="312"/>
      <c r="N90" s="312" t="s">
        <v>19</v>
      </c>
      <c r="O90" s="312" t="s">
        <v>20</v>
      </c>
      <c r="P90" s="312"/>
      <c r="Q90" s="312" t="s">
        <v>19</v>
      </c>
      <c r="R90" s="312" t="s">
        <v>20</v>
      </c>
      <c r="S90" s="312" t="s">
        <v>19</v>
      </c>
      <c r="T90" s="312" t="s">
        <v>20</v>
      </c>
      <c r="U90" s="313" t="s">
        <v>11</v>
      </c>
      <c r="V90" s="45"/>
      <c r="W90" s="770" t="s">
        <v>12</v>
      </c>
      <c r="X90" s="770"/>
      <c r="Y90" s="770"/>
      <c r="Z90" s="770"/>
      <c r="AA90" s="770" t="s">
        <v>13</v>
      </c>
      <c r="AB90" s="770"/>
      <c r="AC90" s="46"/>
      <c r="AD90" s="770" t="s">
        <v>14</v>
      </c>
      <c r="AE90" s="770"/>
      <c r="AF90" s="770"/>
      <c r="AG90" s="46"/>
      <c r="AH90" s="770" t="s">
        <v>15</v>
      </c>
      <c r="AI90" s="770"/>
      <c r="AK90" s="355" t="s">
        <v>19</v>
      </c>
      <c r="AL90" s="355" t="s">
        <v>20</v>
      </c>
      <c r="AM90" s="49"/>
      <c r="AN90" s="49"/>
      <c r="AO90" s="383"/>
      <c r="AP90" s="49"/>
      <c r="AQ90" s="49"/>
    </row>
    <row r="91" spans="2:44" s="86" customFormat="1" ht="20.100000000000001" customHeight="1" x14ac:dyDescent="0.3">
      <c r="B91" s="47"/>
      <c r="C91" s="64" t="s">
        <v>99</v>
      </c>
      <c r="D91" s="47"/>
      <c r="E91" s="47"/>
      <c r="F91" s="47"/>
      <c r="G91" s="47"/>
      <c r="H91" s="47"/>
      <c r="I91" s="48"/>
      <c r="J91" s="48"/>
      <c r="K91" s="48"/>
      <c r="L91" s="48"/>
      <c r="M91" s="48"/>
      <c r="N91" s="48"/>
      <c r="O91" s="48"/>
      <c r="P91" s="48"/>
      <c r="Q91" s="48"/>
      <c r="R91" s="48"/>
      <c r="S91" s="48"/>
      <c r="T91" s="48"/>
      <c r="U91" s="47"/>
      <c r="V91" s="49"/>
      <c r="W91" s="312" t="s">
        <v>4</v>
      </c>
      <c r="X91" s="312" t="s">
        <v>16</v>
      </c>
      <c r="Y91" s="312" t="s">
        <v>19</v>
      </c>
      <c r="Z91" s="312" t="s">
        <v>20</v>
      </c>
      <c r="AA91" s="312" t="s">
        <v>21</v>
      </c>
      <c r="AB91" s="312" t="s">
        <v>22</v>
      </c>
      <c r="AC91" s="46"/>
      <c r="AD91" s="312" t="s">
        <v>16</v>
      </c>
      <c r="AE91" s="312" t="s">
        <v>19</v>
      </c>
      <c r="AF91" s="312" t="s">
        <v>20</v>
      </c>
      <c r="AG91" s="46"/>
      <c r="AH91" s="312" t="s">
        <v>3</v>
      </c>
      <c r="AI91" s="312" t="s">
        <v>23</v>
      </c>
      <c r="AK91" s="388">
        <f>+AK85+AM85+AP85</f>
        <v>1128.8674475339431</v>
      </c>
      <c r="AL91" s="389"/>
      <c r="AM91" s="28"/>
      <c r="AN91" s="28"/>
      <c r="AO91" s="106"/>
      <c r="AP91" s="28"/>
      <c r="AQ91" s="28"/>
      <c r="AR91" s="28"/>
    </row>
    <row r="92" spans="2:44" ht="20.100000000000001" customHeight="1" x14ac:dyDescent="0.3">
      <c r="B92" s="18"/>
      <c r="C92" s="50"/>
      <c r="D92" s="18" t="s">
        <v>29</v>
      </c>
      <c r="E92" s="18">
        <v>1</v>
      </c>
      <c r="F92" s="18">
        <v>1</v>
      </c>
      <c r="G92" s="20"/>
      <c r="H92" s="18"/>
      <c r="I92" s="21"/>
      <c r="J92" s="21"/>
      <c r="K92" s="21">
        <f>K86</f>
        <v>798.79417148700031</v>
      </c>
      <c r="L92" s="21"/>
      <c r="M92" s="21"/>
      <c r="N92" s="21">
        <f>N86</f>
        <v>1065.058895316</v>
      </c>
      <c r="O92" s="21"/>
      <c r="P92" s="21"/>
      <c r="Q92" s="21">
        <f>Q86</f>
        <v>972.19665840149992</v>
      </c>
      <c r="R92" s="21"/>
      <c r="S92" s="52">
        <f>+Q92+N92+K92</f>
        <v>2836.0497252045002</v>
      </c>
      <c r="T92" s="52"/>
      <c r="U92" s="53"/>
      <c r="V92" s="54"/>
      <c r="W92" s="48"/>
      <c r="X92" s="48"/>
      <c r="Y92" s="55">
        <f>Y86</f>
        <v>7.7548755000000007</v>
      </c>
      <c r="Z92" s="55"/>
      <c r="AA92" s="55">
        <f>AA86</f>
        <v>11.505750000000003</v>
      </c>
      <c r="AB92" s="55"/>
      <c r="AC92" s="55" t="e">
        <f>#REF!</f>
        <v>#REF!</v>
      </c>
      <c r="AD92" s="55"/>
      <c r="AE92" s="55">
        <f>AE86</f>
        <v>0</v>
      </c>
      <c r="AF92" s="55"/>
      <c r="AG92" s="55" t="e">
        <f>#REF!</f>
        <v>#REF!</v>
      </c>
      <c r="AH92" s="55"/>
      <c r="AI92" s="55">
        <f>AI86</f>
        <v>48.749413697820017</v>
      </c>
      <c r="AK92" s="389"/>
      <c r="AL92" s="388">
        <f>+AL86+AN86+AO86</f>
        <v>18.008565783000002</v>
      </c>
    </row>
    <row r="93" spans="2:44" ht="20.100000000000001" customHeight="1" x14ac:dyDescent="0.3">
      <c r="B93" s="18"/>
      <c r="C93" s="50"/>
      <c r="D93" s="18" t="s">
        <v>30</v>
      </c>
      <c r="E93" s="18">
        <v>1</v>
      </c>
      <c r="F93" s="18">
        <v>1</v>
      </c>
      <c r="G93" s="18"/>
      <c r="H93" s="18"/>
      <c r="I93" s="21"/>
      <c r="J93" s="21"/>
      <c r="K93" s="21"/>
      <c r="L93" s="21">
        <f>L86</f>
        <v>80.998047000000014</v>
      </c>
      <c r="M93" s="21"/>
      <c r="N93" s="21"/>
      <c r="O93" s="21">
        <f>O86</f>
        <v>107.99739600000001</v>
      </c>
      <c r="P93" s="21"/>
      <c r="Q93" s="21"/>
      <c r="R93" s="21">
        <f>R86</f>
        <v>94.497721500000011</v>
      </c>
      <c r="S93" s="52"/>
      <c r="T93" s="52">
        <f>+R93+O93+L93</f>
        <v>283.49316450000003</v>
      </c>
      <c r="U93" s="56"/>
      <c r="V93" s="54"/>
      <c r="W93" s="48"/>
      <c r="X93" s="48"/>
      <c r="Y93" s="48"/>
      <c r="Z93" s="48">
        <f>Z86</f>
        <v>0</v>
      </c>
      <c r="AA93" s="48"/>
      <c r="AB93" s="48">
        <f>AB86</f>
        <v>23.253</v>
      </c>
      <c r="AC93" s="48" t="e">
        <f>#REF!</f>
        <v>#REF!</v>
      </c>
      <c r="AD93" s="48"/>
      <c r="AE93" s="48"/>
      <c r="AF93" s="48">
        <f>AF86</f>
        <v>0</v>
      </c>
      <c r="AG93" s="48" t="e">
        <f>#REF!</f>
        <v>#REF!</v>
      </c>
      <c r="AH93" s="48"/>
      <c r="AI93" s="48"/>
      <c r="AK93" s="297"/>
      <c r="AL93" s="297"/>
    </row>
    <row r="94" spans="2:44" ht="20.100000000000001" customHeight="1" x14ac:dyDescent="0.3">
      <c r="B94" s="18"/>
      <c r="C94" s="50"/>
      <c r="D94" s="18"/>
      <c r="E94" s="18"/>
      <c r="F94" s="18"/>
      <c r="G94" s="18"/>
      <c r="H94" s="18"/>
      <c r="I94" s="21"/>
      <c r="J94" s="21"/>
      <c r="K94" s="21"/>
      <c r="L94" s="21"/>
      <c r="M94" s="21"/>
      <c r="N94" s="21"/>
      <c r="O94" s="21"/>
      <c r="P94" s="21"/>
      <c r="Q94" s="21"/>
      <c r="R94" s="21"/>
      <c r="S94" s="21"/>
      <c r="T94" s="21"/>
      <c r="U94" s="18"/>
      <c r="V94" s="54"/>
      <c r="W94" s="48"/>
      <c r="X94" s="48"/>
      <c r="Y94" s="48"/>
      <c r="Z94" s="48"/>
      <c r="AA94" s="48"/>
      <c r="AB94" s="48"/>
      <c r="AC94" s="48"/>
      <c r="AD94" s="48"/>
      <c r="AE94" s="48"/>
      <c r="AF94" s="48"/>
      <c r="AG94" s="48"/>
      <c r="AH94" s="48"/>
      <c r="AI94" s="48"/>
      <c r="AK94" s="363">
        <f t="shared" ref="AK94:AL94" si="76">SUM(AK91:AK93)</f>
        <v>1128.8674475339431</v>
      </c>
      <c r="AL94" s="363">
        <f t="shared" si="76"/>
        <v>18.008565783000002</v>
      </c>
      <c r="AM94" s="90"/>
      <c r="AN94" s="90"/>
      <c r="AO94" s="386"/>
      <c r="AP94" s="90"/>
      <c r="AQ94" s="90"/>
    </row>
    <row r="95" spans="2:44" ht="20.100000000000001" customHeight="1" x14ac:dyDescent="0.3">
      <c r="B95" s="57"/>
      <c r="C95" s="58" t="s">
        <v>10</v>
      </c>
      <c r="D95" s="57"/>
      <c r="E95" s="57"/>
      <c r="F95" s="57"/>
      <c r="G95" s="57"/>
      <c r="H95" s="57"/>
      <c r="I95" s="59"/>
      <c r="J95" s="59"/>
      <c r="K95" s="60">
        <f>SUM(K92:K93)</f>
        <v>798.79417148700031</v>
      </c>
      <c r="L95" s="60">
        <f t="shared" ref="L95:T95" si="77">SUM(L92:L93)</f>
        <v>80.998047000000014</v>
      </c>
      <c r="M95" s="60">
        <f t="shared" si="77"/>
        <v>0</v>
      </c>
      <c r="N95" s="60">
        <f t="shared" si="77"/>
        <v>1065.058895316</v>
      </c>
      <c r="O95" s="60">
        <f t="shared" si="77"/>
        <v>107.99739600000001</v>
      </c>
      <c r="P95" s="60">
        <f t="shared" si="77"/>
        <v>0</v>
      </c>
      <c r="Q95" s="60">
        <f t="shared" si="77"/>
        <v>972.19665840149992</v>
      </c>
      <c r="R95" s="60">
        <f t="shared" si="77"/>
        <v>94.497721500000011</v>
      </c>
      <c r="S95" s="60">
        <f t="shared" si="77"/>
        <v>2836.0497252045002</v>
      </c>
      <c r="T95" s="60">
        <f t="shared" si="77"/>
        <v>283.49316450000003</v>
      </c>
      <c r="U95" s="57"/>
      <c r="V95" s="61"/>
      <c r="W95" s="48"/>
      <c r="X95" s="48"/>
      <c r="Y95" s="60">
        <f t="shared" ref="Y95:AI95" si="78">SUM(Y92:Y94)</f>
        <v>7.7548755000000007</v>
      </c>
      <c r="Z95" s="60">
        <f t="shared" si="78"/>
        <v>0</v>
      </c>
      <c r="AA95" s="60">
        <f t="shared" si="78"/>
        <v>11.505750000000003</v>
      </c>
      <c r="AB95" s="60">
        <f t="shared" si="78"/>
        <v>23.253</v>
      </c>
      <c r="AC95" s="60" t="e">
        <f t="shared" si="78"/>
        <v>#REF!</v>
      </c>
      <c r="AD95" s="60">
        <f t="shared" si="78"/>
        <v>0</v>
      </c>
      <c r="AE95" s="60">
        <f t="shared" si="78"/>
        <v>0</v>
      </c>
      <c r="AF95" s="60">
        <f t="shared" si="78"/>
        <v>0</v>
      </c>
      <c r="AG95" s="60" t="e">
        <f t="shared" si="78"/>
        <v>#REF!</v>
      </c>
      <c r="AH95" s="60">
        <f>SUM(AH92:AH94)</f>
        <v>0</v>
      </c>
      <c r="AI95" s="60">
        <f t="shared" si="78"/>
        <v>48.749413697820017</v>
      </c>
      <c r="AK95" s="390" t="s">
        <v>65</v>
      </c>
      <c r="AL95" s="390" t="s">
        <v>103</v>
      </c>
    </row>
    <row r="96" spans="2:44" ht="20.100000000000001" customHeight="1" x14ac:dyDescent="0.3">
      <c r="B96" s="18"/>
      <c r="C96" s="62"/>
      <c r="D96" s="18"/>
      <c r="E96" s="18"/>
      <c r="F96" s="18"/>
      <c r="G96" s="18"/>
      <c r="H96" s="18">
        <f>+D96</f>
        <v>0</v>
      </c>
      <c r="I96" s="21"/>
      <c r="J96" s="21"/>
      <c r="K96" s="21"/>
      <c r="L96" s="21"/>
      <c r="M96" s="21"/>
      <c r="N96" s="21">
        <f>+IF(D96=0.667,E96*F96*G96*H96*M96,0)</f>
        <v>0</v>
      </c>
      <c r="O96" s="21">
        <f>+IF(D96=0.333,E96*F96*G96*M96,0)</f>
        <v>0</v>
      </c>
      <c r="P96" s="21"/>
      <c r="Q96" s="21">
        <f>+IF(D96=0.667,E96*F96*G96*H96*P96,0)</f>
        <v>0</v>
      </c>
      <c r="R96" s="21">
        <f>+IF(D96=0.333,E96*F96*G96*P96,0)</f>
        <v>0</v>
      </c>
      <c r="S96" s="21">
        <f>+Q96+N96+K96</f>
        <v>0</v>
      </c>
      <c r="T96" s="21">
        <f>+R96+O96+L96</f>
        <v>0</v>
      </c>
      <c r="U96" s="18"/>
      <c r="V96" s="54"/>
      <c r="W96" s="48"/>
      <c r="X96" s="48"/>
      <c r="Y96" s="48"/>
      <c r="Z96" s="166">
        <f>Z95</f>
        <v>0</v>
      </c>
      <c r="AA96" s="48"/>
      <c r="AB96" s="166">
        <f>+AA95+AB95</f>
        <v>34.758750000000006</v>
      </c>
      <c r="AC96" s="48"/>
      <c r="AD96" s="48"/>
      <c r="AE96" s="48"/>
      <c r="AF96" s="166">
        <f>AF95</f>
        <v>0</v>
      </c>
      <c r="AG96" s="48"/>
      <c r="AH96" s="48"/>
      <c r="AI96" s="48"/>
    </row>
    <row r="97" spans="3:38" ht="20.100000000000001" customHeight="1" x14ac:dyDescent="0.3">
      <c r="I97" s="106"/>
      <c r="J97" s="106"/>
      <c r="K97" s="106"/>
      <c r="L97" s="106"/>
      <c r="M97" s="106"/>
      <c r="N97" s="106"/>
      <c r="O97" s="106"/>
      <c r="P97" s="106"/>
      <c r="Q97" s="106"/>
      <c r="R97" s="106"/>
      <c r="S97" s="106"/>
      <c r="T97" s="106"/>
      <c r="U97" s="86"/>
      <c r="V97" s="86"/>
      <c r="W97" s="88"/>
      <c r="X97" s="88"/>
      <c r="Y97" s="106"/>
      <c r="Z97" s="384">
        <f>+Z95/0.33</f>
        <v>0</v>
      </c>
      <c r="AA97" s="88"/>
      <c r="AB97" s="88"/>
      <c r="AC97" s="86"/>
      <c r="AD97" s="88"/>
      <c r="AE97" s="88"/>
      <c r="AF97" s="88">
        <f>+AF95/0.17</f>
        <v>0</v>
      </c>
      <c r="AG97" s="86"/>
      <c r="AH97" s="88"/>
    </row>
    <row r="98" spans="3:38" ht="20.100000000000001" customHeight="1" x14ac:dyDescent="0.3">
      <c r="F98" s="86">
        <f>+F36+F9</f>
        <v>2</v>
      </c>
      <c r="I98" s="106"/>
      <c r="J98" s="106"/>
      <c r="K98" s="106"/>
      <c r="L98" s="106"/>
      <c r="M98" s="106"/>
      <c r="N98" s="106"/>
      <c r="O98" s="106"/>
      <c r="P98" s="106"/>
      <c r="Q98" s="106"/>
      <c r="R98" s="106"/>
      <c r="S98" s="106">
        <f>+S95+T95</f>
        <v>3119.5428897045003</v>
      </c>
      <c r="T98" s="106"/>
      <c r="U98" s="86"/>
      <c r="V98" s="54"/>
      <c r="W98" s="88"/>
      <c r="X98" s="88"/>
      <c r="Y98" s="106"/>
      <c r="Z98" s="88" t="s">
        <v>103</v>
      </c>
      <c r="AA98" s="88"/>
      <c r="AB98" s="88"/>
      <c r="AC98" s="391"/>
      <c r="AD98" s="88"/>
      <c r="AE98" s="88"/>
      <c r="AF98" s="88" t="s">
        <v>103</v>
      </c>
      <c r="AG98" s="391"/>
      <c r="AH98" s="88"/>
    </row>
    <row r="99" spans="3:38" x14ac:dyDescent="0.3">
      <c r="C99" s="28" t="s">
        <v>525</v>
      </c>
      <c r="AK99" s="392"/>
      <c r="AL99" s="392"/>
    </row>
    <row r="100" spans="3:38" x14ac:dyDescent="0.3">
      <c r="C100" s="28" t="s">
        <v>526</v>
      </c>
      <c r="S100" s="670">
        <f>+S95</f>
        <v>2836.0497252045002</v>
      </c>
      <c r="T100" s="670">
        <f>+T95</f>
        <v>283.49316450000003</v>
      </c>
    </row>
    <row r="101" spans="3:38" x14ac:dyDescent="0.3">
      <c r="C101" s="28" t="s">
        <v>527</v>
      </c>
    </row>
    <row r="102" spans="3:38" x14ac:dyDescent="0.3">
      <c r="C102" s="28" t="s">
        <v>47</v>
      </c>
    </row>
    <row r="103" spans="3:38" x14ac:dyDescent="0.3">
      <c r="C103" s="28" t="s">
        <v>528</v>
      </c>
    </row>
    <row r="105" spans="3:38" x14ac:dyDescent="0.3">
      <c r="C105" s="28" t="s">
        <v>94</v>
      </c>
      <c r="D105" s="86" t="s">
        <v>577</v>
      </c>
      <c r="E105" s="86">
        <f>+F9+F36+F63</f>
        <v>3</v>
      </c>
    </row>
    <row r="106" spans="3:38" x14ac:dyDescent="0.3">
      <c r="C106" s="28" t="s">
        <v>259</v>
      </c>
      <c r="D106" s="86" t="s">
        <v>577</v>
      </c>
      <c r="E106" s="86">
        <f>+F23+F47+F72</f>
        <v>3</v>
      </c>
    </row>
    <row r="107" spans="3:38" x14ac:dyDescent="0.3">
      <c r="E107" s="86">
        <f>SUBTOTAL(9,E105:E106)</f>
        <v>6</v>
      </c>
    </row>
  </sheetData>
  <mergeCells count="33">
    <mergeCell ref="B2:C2"/>
    <mergeCell ref="H3:H4"/>
    <mergeCell ref="B3:B4"/>
    <mergeCell ref="C3:C4"/>
    <mergeCell ref="D3:D4"/>
    <mergeCell ref="E3:F4"/>
    <mergeCell ref="G3:G4"/>
    <mergeCell ref="J3:L3"/>
    <mergeCell ref="M3:O3"/>
    <mergeCell ref="P3:R3"/>
    <mergeCell ref="S3:T3"/>
    <mergeCell ref="U3:U4"/>
    <mergeCell ref="AP3:AQ3"/>
    <mergeCell ref="B89:F89"/>
    <mergeCell ref="K89:L89"/>
    <mergeCell ref="N89:O89"/>
    <mergeCell ref="Q89:R89"/>
    <mergeCell ref="S89:T89"/>
    <mergeCell ref="Y89:Z89"/>
    <mergeCell ref="AA89:AB89"/>
    <mergeCell ref="AK89:AL89"/>
    <mergeCell ref="W3:Z3"/>
    <mergeCell ref="AA3:AB3"/>
    <mergeCell ref="AD3:AF3"/>
    <mergeCell ref="AH3:AI3"/>
    <mergeCell ref="AK3:AL3"/>
    <mergeCell ref="AM3:AN3"/>
    <mergeCell ref="I3:I4"/>
    <mergeCell ref="E90:F90"/>
    <mergeCell ref="W90:Z90"/>
    <mergeCell ref="AA90:AB90"/>
    <mergeCell ref="AD90:AF90"/>
    <mergeCell ref="AH90:AI90"/>
  </mergeCells>
  <printOptions horizontalCentered="1"/>
  <pageMargins left="0" right="0" top="0" bottom="0" header="0.3" footer="0.3"/>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R290"/>
  <sheetViews>
    <sheetView showGridLines="0" zoomScale="85" zoomScaleNormal="85" workbookViewId="0">
      <pane xSplit="9" ySplit="4" topLeftCell="Q269" activePane="bottomRight" state="frozen"/>
      <selection activeCell="D19" sqref="D19"/>
      <selection pane="topRight" activeCell="D19" sqref="D19"/>
      <selection pane="bottomLeft" activeCell="D19" sqref="D19"/>
      <selection pane="bottomRight" activeCell="Y282" sqref="Y282:Z282"/>
    </sheetView>
  </sheetViews>
  <sheetFormatPr defaultColWidth="9.109375" defaultRowHeight="13.8" x14ac:dyDescent="0.3"/>
  <cols>
    <col min="1" max="1" width="1" style="28" customWidth="1"/>
    <col min="2" max="2" width="3.44140625" style="86" customWidth="1"/>
    <col min="3" max="3" width="19.109375" style="28" bestFit="1" customWidth="1"/>
    <col min="4" max="4" width="5.5546875" style="86" customWidth="1"/>
    <col min="5" max="6" width="4.88671875" style="86" customWidth="1"/>
    <col min="7" max="7" width="7.109375" style="86" bestFit="1" customWidth="1"/>
    <col min="8" max="8" width="8.109375" style="86" bestFit="1" customWidth="1"/>
    <col min="9" max="9" width="7.44140625" style="86" customWidth="1"/>
    <col min="10" max="10" width="6.5546875" style="86" customWidth="1"/>
    <col min="11" max="12" width="8.6640625" style="86" bestFit="1" customWidth="1"/>
    <col min="13" max="13" width="6.5546875" style="86" customWidth="1"/>
    <col min="14" max="15" width="8.6640625" style="28" bestFit="1" customWidth="1"/>
    <col min="16" max="16" width="6.5546875" style="28" customWidth="1"/>
    <col min="17" max="17" width="9.33203125" style="28" customWidth="1"/>
    <col min="18" max="18" width="8.6640625" style="28" bestFit="1" customWidth="1"/>
    <col min="19" max="19" width="9.6640625" style="28" bestFit="1" customWidth="1"/>
    <col min="20" max="20" width="8.6640625" style="28" customWidth="1"/>
    <col min="21" max="21" width="4.44140625" style="28" customWidth="1"/>
    <col min="22" max="22" width="0.33203125" style="28" customWidth="1"/>
    <col min="23" max="23" width="7.109375" style="28" customWidth="1"/>
    <col min="24" max="24" width="6.5546875" style="28" customWidth="1"/>
    <col min="25" max="25" width="7.33203125" style="28" bestFit="1" customWidth="1"/>
    <col min="26" max="26" width="7.44140625" style="28" bestFit="1" customWidth="1"/>
    <col min="27" max="27" width="7.6640625" style="28" customWidth="1"/>
    <col min="28" max="28" width="8.88671875" style="28" customWidth="1"/>
    <col min="29" max="29" width="0.44140625" style="28" customWidth="1"/>
    <col min="30" max="32" width="6.5546875" style="28" customWidth="1"/>
    <col min="33" max="33" width="0.44140625" style="28" customWidth="1"/>
    <col min="34" max="34" width="8" style="87" customWidth="1"/>
    <col min="35" max="35" width="7.44140625" style="88" customWidth="1"/>
    <col min="36" max="36" width="2.109375" style="28" customWidth="1"/>
    <col min="37" max="37" width="8.88671875" style="28" bestFit="1" customWidth="1"/>
    <col min="38" max="38" width="7.44140625" style="28" bestFit="1" customWidth="1"/>
    <col min="39" max="40" width="7.6640625" style="28" bestFit="1" customWidth="1"/>
    <col min="41" max="41" width="10.33203125" style="106" bestFit="1" customWidth="1"/>
    <col min="42" max="42" width="11.6640625" style="28" bestFit="1" customWidth="1"/>
    <col min="43" max="43" width="6.33203125" style="28" bestFit="1" customWidth="1"/>
    <col min="44" max="16384" width="9.109375" style="28"/>
  </cols>
  <sheetData>
    <row r="1" spans="2:43" ht="5.25" customHeight="1" x14ac:dyDescent="0.3"/>
    <row r="2" spans="2:43" ht="18.75" customHeight="1" x14ac:dyDescent="0.3">
      <c r="B2" s="89" t="s">
        <v>432</v>
      </c>
      <c r="C2" s="90"/>
      <c r="D2" s="90"/>
      <c r="E2" s="90"/>
      <c r="F2" s="90"/>
      <c r="G2" s="90"/>
      <c r="H2" s="90"/>
      <c r="I2" s="90"/>
      <c r="J2" s="90"/>
      <c r="K2" s="90"/>
      <c r="L2" s="90"/>
      <c r="M2" s="90"/>
      <c r="P2" s="28">
        <v>11.833</v>
      </c>
      <c r="Q2" s="392">
        <f>+J7+M7+P7</f>
        <v>9.8330000000000002</v>
      </c>
      <c r="AB2" s="28">
        <f>0.863*3.281</f>
        <v>2.8315030000000001</v>
      </c>
      <c r="AD2" s="28">
        <f>0.922*3.281</f>
        <v>3.0250820000000003</v>
      </c>
      <c r="AF2" s="28">
        <f>200*4</f>
        <v>800</v>
      </c>
      <c r="AH2" s="87">
        <f>0.8*3.281</f>
        <v>2.6248000000000005</v>
      </c>
    </row>
    <row r="3" spans="2:43" ht="24" customHeight="1" x14ac:dyDescent="0.3">
      <c r="B3" s="778" t="s">
        <v>0</v>
      </c>
      <c r="C3" s="778" t="s">
        <v>1</v>
      </c>
      <c r="D3" s="778" t="s">
        <v>2</v>
      </c>
      <c r="E3" s="781" t="s">
        <v>3</v>
      </c>
      <c r="F3" s="783"/>
      <c r="G3" s="778" t="s">
        <v>4</v>
      </c>
      <c r="H3" s="778" t="s">
        <v>5</v>
      </c>
      <c r="I3" s="779" t="s">
        <v>6</v>
      </c>
      <c r="J3" s="778" t="s">
        <v>7</v>
      </c>
      <c r="K3" s="778"/>
      <c r="L3" s="778"/>
      <c r="M3" s="778" t="s">
        <v>8</v>
      </c>
      <c r="N3" s="778"/>
      <c r="O3" s="778"/>
      <c r="P3" s="778" t="s">
        <v>9</v>
      </c>
      <c r="Q3" s="778"/>
      <c r="R3" s="778"/>
      <c r="S3" s="778" t="s">
        <v>10</v>
      </c>
      <c r="T3" s="778"/>
      <c r="U3" s="778" t="s">
        <v>11</v>
      </c>
      <c r="V3" s="91"/>
      <c r="W3" s="778" t="s">
        <v>12</v>
      </c>
      <c r="X3" s="778"/>
      <c r="Y3" s="778"/>
      <c r="Z3" s="778"/>
      <c r="AA3" s="778" t="s">
        <v>13</v>
      </c>
      <c r="AB3" s="778"/>
      <c r="AC3" s="91"/>
      <c r="AD3" s="778" t="s">
        <v>14</v>
      </c>
      <c r="AE3" s="778"/>
      <c r="AF3" s="778"/>
      <c r="AG3" s="91"/>
      <c r="AH3" s="771" t="s">
        <v>15</v>
      </c>
      <c r="AI3" s="771"/>
      <c r="AK3" s="771" t="s">
        <v>310</v>
      </c>
      <c r="AL3" s="771"/>
      <c r="AM3" s="771" t="s">
        <v>311</v>
      </c>
      <c r="AN3" s="771"/>
      <c r="AO3" s="355" t="s">
        <v>312</v>
      </c>
      <c r="AP3" s="771" t="s">
        <v>314</v>
      </c>
      <c r="AQ3" s="771"/>
    </row>
    <row r="4" spans="2:43" ht="31.5" customHeight="1" x14ac:dyDescent="0.3">
      <c r="B4" s="778"/>
      <c r="C4" s="778"/>
      <c r="D4" s="778"/>
      <c r="E4" s="782"/>
      <c r="F4" s="784"/>
      <c r="G4" s="778"/>
      <c r="H4" s="778"/>
      <c r="I4" s="779"/>
      <c r="J4" s="368" t="s">
        <v>16</v>
      </c>
      <c r="K4" s="368" t="s">
        <v>17</v>
      </c>
      <c r="L4" s="368" t="s">
        <v>18</v>
      </c>
      <c r="M4" s="368" t="s">
        <v>16</v>
      </c>
      <c r="N4" s="368" t="s">
        <v>17</v>
      </c>
      <c r="O4" s="368" t="s">
        <v>18</v>
      </c>
      <c r="P4" s="368" t="s">
        <v>16</v>
      </c>
      <c r="Q4" s="368" t="s">
        <v>17</v>
      </c>
      <c r="R4" s="368" t="s">
        <v>18</v>
      </c>
      <c r="S4" s="368" t="s">
        <v>17</v>
      </c>
      <c r="T4" s="368" t="s">
        <v>18</v>
      </c>
      <c r="U4" s="778"/>
      <c r="V4" s="91"/>
      <c r="W4" s="368" t="s">
        <v>4</v>
      </c>
      <c r="X4" s="368" t="s">
        <v>16</v>
      </c>
      <c r="Y4" s="368" t="s">
        <v>19</v>
      </c>
      <c r="Z4" s="368" t="s">
        <v>20</v>
      </c>
      <c r="AA4" s="368" t="s">
        <v>21</v>
      </c>
      <c r="AB4" s="368" t="s">
        <v>22</v>
      </c>
      <c r="AC4" s="91"/>
      <c r="AD4" s="368" t="s">
        <v>16</v>
      </c>
      <c r="AE4" s="368" t="s">
        <v>19</v>
      </c>
      <c r="AF4" s="368" t="s">
        <v>20</v>
      </c>
      <c r="AG4" s="91"/>
      <c r="AH4" s="303" t="s">
        <v>3</v>
      </c>
      <c r="AI4" s="355" t="s">
        <v>23</v>
      </c>
      <c r="AK4" s="355" t="s">
        <v>19</v>
      </c>
      <c r="AL4" s="355" t="s">
        <v>20</v>
      </c>
      <c r="AM4" s="355" t="s">
        <v>19</v>
      </c>
      <c r="AN4" s="355" t="s">
        <v>20</v>
      </c>
      <c r="AO4" s="355" t="s">
        <v>20</v>
      </c>
      <c r="AP4" s="355" t="s">
        <v>19</v>
      </c>
      <c r="AQ4" s="355" t="s">
        <v>20</v>
      </c>
    </row>
    <row r="5" spans="2:43" ht="39.75" customHeight="1" x14ac:dyDescent="0.3">
      <c r="B5" s="92">
        <v>1</v>
      </c>
      <c r="C5" s="93" t="s">
        <v>554</v>
      </c>
      <c r="D5" s="92"/>
      <c r="E5" s="92"/>
      <c r="F5" s="92"/>
      <c r="G5" s="92"/>
      <c r="H5" s="92"/>
      <c r="I5" s="94"/>
      <c r="J5" s="92"/>
      <c r="K5" s="92"/>
      <c r="L5" s="92"/>
      <c r="M5" s="92"/>
      <c r="N5" s="92"/>
      <c r="O5" s="92"/>
      <c r="P5" s="92"/>
      <c r="Q5" s="92"/>
      <c r="R5" s="92"/>
      <c r="S5" s="92"/>
      <c r="T5" s="92"/>
      <c r="U5" s="92"/>
      <c r="V5" s="95"/>
      <c r="W5" s="92"/>
      <c r="X5" s="92"/>
      <c r="Y5" s="92"/>
      <c r="Z5" s="92"/>
      <c r="AA5" s="92"/>
      <c r="AB5" s="92"/>
      <c r="AC5" s="95"/>
      <c r="AD5" s="92"/>
      <c r="AE5" s="92"/>
      <c r="AF5" s="92"/>
      <c r="AG5" s="95"/>
      <c r="AH5" s="460"/>
      <c r="AI5" s="301"/>
      <c r="AK5" s="301"/>
      <c r="AL5" s="301"/>
      <c r="AM5" s="301"/>
      <c r="AN5" s="301"/>
      <c r="AO5" s="299"/>
      <c r="AP5" s="301"/>
      <c r="AQ5" s="301"/>
    </row>
    <row r="6" spans="2:43" ht="20.100000000000001" customHeight="1" x14ac:dyDescent="0.3">
      <c r="B6" s="92"/>
      <c r="C6" s="97" t="s">
        <v>351</v>
      </c>
      <c r="D6" s="98"/>
      <c r="E6" s="92"/>
      <c r="F6" s="92"/>
      <c r="G6" s="98"/>
      <c r="H6" s="98"/>
      <c r="I6" s="94"/>
      <c r="J6" s="92"/>
      <c r="K6" s="92"/>
      <c r="L6" s="92"/>
      <c r="M6" s="92"/>
      <c r="N6" s="92"/>
      <c r="O6" s="92"/>
      <c r="P6" s="92"/>
      <c r="Q6" s="92"/>
      <c r="R6" s="92"/>
      <c r="S6" s="92"/>
      <c r="T6" s="92"/>
      <c r="U6" s="92"/>
      <c r="V6" s="91"/>
      <c r="W6" s="102"/>
      <c r="X6" s="98"/>
      <c r="Y6" s="102"/>
      <c r="Z6" s="98"/>
      <c r="AA6" s="98"/>
      <c r="AB6" s="98"/>
      <c r="AC6" s="91"/>
      <c r="AD6" s="98"/>
      <c r="AE6" s="98"/>
      <c r="AF6" s="98"/>
      <c r="AG6" s="91"/>
      <c r="AH6" s="460"/>
      <c r="AI6" s="299"/>
      <c r="AK6" s="301">
        <f t="shared" ref="AK6:AK31" si="0">+IF(D6=0.667,E6*F6*G6,0)</f>
        <v>0</v>
      </c>
      <c r="AL6" s="301">
        <f t="shared" ref="AL6:AL31" si="1">+IF(D6=0.333,E6*F6*G6,0)</f>
        <v>0</v>
      </c>
      <c r="AM6" s="301"/>
      <c r="AN6" s="301">
        <f>+IF(D6=0.333,1,0)</f>
        <v>0</v>
      </c>
      <c r="AO6" s="299"/>
      <c r="AP6" s="301"/>
      <c r="AQ6" s="301"/>
    </row>
    <row r="7" spans="2:43" ht="20.100000000000001" customHeight="1" x14ac:dyDescent="0.3">
      <c r="B7" s="92"/>
      <c r="C7" s="95" t="s">
        <v>33</v>
      </c>
      <c r="D7" s="98">
        <v>0.66700000000000004</v>
      </c>
      <c r="E7" s="92">
        <v>1</v>
      </c>
      <c r="F7" s="92">
        <v>1</v>
      </c>
      <c r="G7" s="675">
        <f>(5.772+3.11)*3.281</f>
        <v>29.141842</v>
      </c>
      <c r="H7" s="98">
        <f>+D7</f>
        <v>0.66700000000000004</v>
      </c>
      <c r="I7" s="94">
        <v>2</v>
      </c>
      <c r="J7" s="99">
        <v>3</v>
      </c>
      <c r="K7" s="100">
        <f>+IF(D7=0.667,E7*F7*G7*H7*J7,0)</f>
        <v>58.312825842000009</v>
      </c>
      <c r="L7" s="100">
        <f>+IF(D7=0.333,E7*F7*G7*J7,0)</f>
        <v>0</v>
      </c>
      <c r="M7" s="99">
        <v>4</v>
      </c>
      <c r="N7" s="100">
        <f>+IF(D7=0.667,E7*F7*G7*H7*M7,0)</f>
        <v>77.750434456000008</v>
      </c>
      <c r="O7" s="100">
        <f>+IF(D7=0.333,E7*F7*G7*M7,0)</f>
        <v>0</v>
      </c>
      <c r="P7" s="81">
        <f>11.833-I7-M7-J7</f>
        <v>2.8330000000000002</v>
      </c>
      <c r="Q7" s="100">
        <f>+IF(D7=0.667,E7*F7*G7*H7*P7,0)</f>
        <v>55.066745203462013</v>
      </c>
      <c r="R7" s="100">
        <f>+IF(D7=0.333,E7*F7*G7*P7,0)</f>
        <v>0</v>
      </c>
      <c r="S7" s="101">
        <f t="shared" ref="S7:T9" si="2">+Q7+N7+K7</f>
        <v>191.13000550146205</v>
      </c>
      <c r="T7" s="101">
        <f t="shared" si="2"/>
        <v>0</v>
      </c>
      <c r="U7" s="92"/>
      <c r="V7" s="91"/>
      <c r="W7" s="102"/>
      <c r="X7" s="98"/>
      <c r="Y7" s="102"/>
      <c r="Z7" s="98"/>
      <c r="AA7" s="98"/>
      <c r="AB7" s="98"/>
      <c r="AC7" s="91"/>
      <c r="AD7" s="98"/>
      <c r="AE7" s="98"/>
      <c r="AF7" s="98"/>
      <c r="AG7" s="91"/>
      <c r="AH7" s="460">
        <v>1</v>
      </c>
      <c r="AI7" s="299">
        <f>+AH7*G7*D7*0.17</f>
        <v>3.3043934643800004</v>
      </c>
      <c r="AK7" s="301">
        <f t="shared" si="0"/>
        <v>29.141842</v>
      </c>
      <c r="AL7" s="301">
        <f t="shared" si="1"/>
        <v>0</v>
      </c>
      <c r="AM7" s="301"/>
      <c r="AN7" s="301"/>
      <c r="AO7" s="299"/>
      <c r="AP7" s="301"/>
      <c r="AQ7" s="301"/>
    </row>
    <row r="8" spans="2:43" ht="20.100000000000001" customHeight="1" x14ac:dyDescent="0.3">
      <c r="B8" s="92"/>
      <c r="C8" s="95" t="s">
        <v>335</v>
      </c>
      <c r="D8" s="98">
        <v>0.66700000000000004</v>
      </c>
      <c r="E8" s="92">
        <v>-1</v>
      </c>
      <c r="F8" s="92">
        <v>1</v>
      </c>
      <c r="G8" s="675">
        <f>4+4</f>
        <v>8</v>
      </c>
      <c r="H8" s="98">
        <f>+D8</f>
        <v>0.66700000000000004</v>
      </c>
      <c r="I8" s="102"/>
      <c r="J8" s="99">
        <v>3</v>
      </c>
      <c r="K8" s="100">
        <f>+IF(D8=0.667,E8*F8*G8*H8*J8,0)</f>
        <v>-16.008000000000003</v>
      </c>
      <c r="L8" s="100">
        <f>+IF(D8=0.333,E8*F8*G8*J8,0)</f>
        <v>0</v>
      </c>
      <c r="M8" s="99">
        <v>4</v>
      </c>
      <c r="N8" s="100">
        <f>+IF(D8=0.667,E8*F8*G8*H8*M8,0)</f>
        <v>-21.344000000000001</v>
      </c>
      <c r="O8" s="100">
        <f>+IF(D8=0.333,E8*F8*G8*M8,0)</f>
        <v>0</v>
      </c>
      <c r="P8" s="99">
        <v>1</v>
      </c>
      <c r="Q8" s="100">
        <f>+IF(D8=0.667,E8*F8*G8*H8*P8,0)</f>
        <v>-5.3360000000000003</v>
      </c>
      <c r="R8" s="100">
        <f>+IF(D8=0.333,E8*F8*G8*P8,0)</f>
        <v>0</v>
      </c>
      <c r="S8" s="101">
        <f t="shared" si="2"/>
        <v>-42.688000000000002</v>
      </c>
      <c r="T8" s="101">
        <f t="shared" si="2"/>
        <v>0</v>
      </c>
      <c r="U8" s="92"/>
      <c r="V8" s="91"/>
      <c r="W8" s="690">
        <f>+G8+D8*2</f>
        <v>9.3339999999999996</v>
      </c>
      <c r="X8" s="690">
        <v>0.5</v>
      </c>
      <c r="Y8" s="690">
        <f>+IF(D8=0.667,-E8*F8*H8*W8*X8,0)</f>
        <v>3.112889</v>
      </c>
      <c r="Z8" s="690">
        <f>+IF(D8=0.333,-E8*F8*H8*W8*X8,0)</f>
        <v>0</v>
      </c>
      <c r="AA8" s="690">
        <f>+F8*G8*H8</f>
        <v>5.3360000000000003</v>
      </c>
      <c r="AB8" s="690">
        <f t="shared" ref="AB8" si="3">2*F8*W8*X8</f>
        <v>9.3339999999999996</v>
      </c>
      <c r="AC8" s="91"/>
      <c r="AD8" s="98"/>
      <c r="AE8" s="98">
        <f>+IF(D8=0.667,AD8*W8*H8*F8,0)</f>
        <v>0</v>
      </c>
      <c r="AF8" s="98">
        <f>+IF(D8=0.333,AD8*W8*H8*F8,0)</f>
        <v>0</v>
      </c>
      <c r="AG8" s="91"/>
      <c r="AH8" s="460"/>
      <c r="AI8" s="299">
        <f>+AH8*G8*D8*0.17</f>
        <v>0</v>
      </c>
      <c r="AK8" s="301">
        <f t="shared" si="0"/>
        <v>-8</v>
      </c>
      <c r="AL8" s="301">
        <f t="shared" si="1"/>
        <v>0</v>
      </c>
      <c r="AM8" s="301">
        <f>+IF(D8=0.667,1.33,0)</f>
        <v>1.33</v>
      </c>
      <c r="AN8" s="301"/>
      <c r="AO8" s="299"/>
      <c r="AP8" s="301"/>
      <c r="AQ8" s="301"/>
    </row>
    <row r="9" spans="2:43" ht="20.100000000000001" customHeight="1" x14ac:dyDescent="0.3">
      <c r="B9" s="92"/>
      <c r="C9" s="95" t="s">
        <v>31</v>
      </c>
      <c r="D9" s="98">
        <v>0.66700000000000004</v>
      </c>
      <c r="E9" s="92">
        <v>1</v>
      </c>
      <c r="F9" s="92">
        <v>1</v>
      </c>
      <c r="G9" s="675">
        <f>(2.035)*3.281</f>
        <v>6.6768350000000005</v>
      </c>
      <c r="H9" s="98">
        <f>+D9</f>
        <v>0.66700000000000004</v>
      </c>
      <c r="I9" s="94">
        <v>2</v>
      </c>
      <c r="J9" s="99">
        <v>3</v>
      </c>
      <c r="K9" s="100">
        <f>+IF(D9=0.667,E9*F9*G9*H9*J9,0)</f>
        <v>13.360346835000001</v>
      </c>
      <c r="L9" s="100">
        <f>+IF(D9=0.333,E9*F9*G9*J9,0)</f>
        <v>0</v>
      </c>
      <c r="M9" s="99">
        <v>4</v>
      </c>
      <c r="N9" s="100">
        <f>+IF(D9=0.667,E9*F9*G9*H9*M9,0)</f>
        <v>17.813795780000003</v>
      </c>
      <c r="O9" s="100">
        <f>+IF(D9=0.333,E9*F9*G9*M9,0)</f>
        <v>0</v>
      </c>
      <c r="P9" s="81">
        <f t="shared" ref="P9" si="4">11.833-I9-M9-J9</f>
        <v>2.8330000000000002</v>
      </c>
      <c r="Q9" s="100">
        <f>+IF(D9=0.667,E9*F9*G9*H9*P9,0)</f>
        <v>12.616620861185003</v>
      </c>
      <c r="R9" s="100">
        <f>+IF(D9=0.333,E9*F9*G9*P9,0)</f>
        <v>0</v>
      </c>
      <c r="S9" s="101">
        <f t="shared" si="2"/>
        <v>43.790763476185006</v>
      </c>
      <c r="T9" s="101">
        <f t="shared" si="2"/>
        <v>0</v>
      </c>
      <c r="U9" s="92"/>
      <c r="V9" s="91"/>
      <c r="W9" s="102"/>
      <c r="X9" s="98"/>
      <c r="Y9" s="102"/>
      <c r="Z9" s="98"/>
      <c r="AA9" s="98"/>
      <c r="AB9" s="98"/>
      <c r="AC9" s="91"/>
      <c r="AD9" s="98"/>
      <c r="AE9" s="98"/>
      <c r="AF9" s="98"/>
      <c r="AG9" s="91"/>
      <c r="AH9" s="460">
        <v>1</v>
      </c>
      <c r="AI9" s="299">
        <f>+AH9*G9*D9*0.17</f>
        <v>0.75708632065000014</v>
      </c>
      <c r="AK9" s="301">
        <f t="shared" si="0"/>
        <v>6.6768350000000005</v>
      </c>
      <c r="AL9" s="301">
        <f t="shared" si="1"/>
        <v>0</v>
      </c>
      <c r="AM9" s="301"/>
      <c r="AN9" s="301"/>
      <c r="AO9" s="299"/>
      <c r="AP9" s="301"/>
      <c r="AQ9" s="301"/>
    </row>
    <row r="10" spans="2:43" ht="20.100000000000001" customHeight="1" x14ac:dyDescent="0.3">
      <c r="B10" s="92"/>
      <c r="C10" s="96"/>
      <c r="D10" s="92"/>
      <c r="E10" s="92"/>
      <c r="F10" s="92"/>
      <c r="G10" s="92"/>
      <c r="H10" s="92"/>
      <c r="I10" s="94"/>
      <c r="J10" s="92"/>
      <c r="K10" s="92"/>
      <c r="L10" s="92"/>
      <c r="M10" s="92"/>
      <c r="N10" s="92"/>
      <c r="O10" s="92"/>
      <c r="P10" s="92"/>
      <c r="Q10" s="92"/>
      <c r="R10" s="92"/>
      <c r="S10" s="92"/>
      <c r="T10" s="92"/>
      <c r="U10" s="92"/>
      <c r="V10" s="95"/>
      <c r="W10" s="92"/>
      <c r="X10" s="92"/>
      <c r="Y10" s="92"/>
      <c r="Z10" s="92"/>
      <c r="AA10" s="92"/>
      <c r="AB10" s="92"/>
      <c r="AC10" s="95"/>
      <c r="AD10" s="92"/>
      <c r="AE10" s="92"/>
      <c r="AF10" s="92"/>
      <c r="AG10" s="95"/>
      <c r="AH10" s="692"/>
      <c r="AI10" s="306"/>
      <c r="AK10" s="301"/>
      <c r="AL10" s="301"/>
      <c r="AM10" s="301"/>
      <c r="AN10" s="301"/>
      <c r="AO10" s="299"/>
      <c r="AP10" s="301"/>
      <c r="AQ10" s="301"/>
    </row>
    <row r="11" spans="2:43" ht="20.100000000000001" customHeight="1" x14ac:dyDescent="0.3">
      <c r="B11" s="92"/>
      <c r="C11" s="97" t="s">
        <v>330</v>
      </c>
      <c r="D11" s="98"/>
      <c r="E11" s="92"/>
      <c r="F11" s="92"/>
      <c r="G11" s="98"/>
      <c r="H11" s="98"/>
      <c r="I11" s="94"/>
      <c r="J11" s="92"/>
      <c r="K11" s="92"/>
      <c r="L11" s="92"/>
      <c r="M11" s="92"/>
      <c r="N11" s="92"/>
      <c r="O11" s="92"/>
      <c r="P11" s="92"/>
      <c r="Q11" s="92"/>
      <c r="R11" s="92"/>
      <c r="S11" s="92"/>
      <c r="T11" s="92"/>
      <c r="U11" s="92"/>
      <c r="V11" s="91"/>
      <c r="W11" s="102"/>
      <c r="X11" s="98"/>
      <c r="Y11" s="102"/>
      <c r="Z11" s="98"/>
      <c r="AA11" s="98"/>
      <c r="AB11" s="98"/>
      <c r="AC11" s="91"/>
      <c r="AD11" s="98"/>
      <c r="AE11" s="98"/>
      <c r="AF11" s="98"/>
      <c r="AG11" s="91"/>
      <c r="AH11" s="460"/>
      <c r="AI11" s="299"/>
      <c r="AK11" s="301"/>
      <c r="AL11" s="301"/>
      <c r="AM11" s="301"/>
      <c r="AN11" s="301"/>
      <c r="AO11" s="299"/>
      <c r="AP11" s="301"/>
      <c r="AQ11" s="301"/>
    </row>
    <row r="12" spans="2:43" ht="20.100000000000001" customHeight="1" x14ac:dyDescent="0.3">
      <c r="B12" s="92"/>
      <c r="C12" s="95" t="s">
        <v>31</v>
      </c>
      <c r="D12" s="98">
        <v>0.66700000000000004</v>
      </c>
      <c r="E12" s="92">
        <v>1</v>
      </c>
      <c r="F12" s="92">
        <v>1</v>
      </c>
      <c r="G12" s="675">
        <f>(1.02+2.543)*3.281</f>
        <v>11.690203</v>
      </c>
      <c r="H12" s="98">
        <f>+D12</f>
        <v>0.66700000000000004</v>
      </c>
      <c r="I12" s="94">
        <v>2</v>
      </c>
      <c r="J12" s="99">
        <v>3</v>
      </c>
      <c r="K12" s="100">
        <f>+IF(D12=0.667,E12*F12*G12*H12*J12,0)</f>
        <v>23.392096203000001</v>
      </c>
      <c r="L12" s="100">
        <f>+IF(D12=0.333,E12*F12*G12*J12,0)</f>
        <v>0</v>
      </c>
      <c r="M12" s="99">
        <v>4</v>
      </c>
      <c r="N12" s="100">
        <f>+IF(D12=0.667,E12*F12*G12*H12*M12,0)</f>
        <v>31.189461604000002</v>
      </c>
      <c r="O12" s="100">
        <f>+IF(D12=0.333,E12*F12*G12*M12,0)</f>
        <v>0</v>
      </c>
      <c r="P12" s="81">
        <f t="shared" ref="P12:P14" si="5">11.833-I12-M12-J12</f>
        <v>2.8330000000000002</v>
      </c>
      <c r="Q12" s="100">
        <f>+IF(D12=0.667,E12*F12*G12*H12*P12,0)</f>
        <v>22.089936181033003</v>
      </c>
      <c r="R12" s="100">
        <f>+IF(D12=0.333,E12*F12*G12*P12,0)</f>
        <v>0</v>
      </c>
      <c r="S12" s="101">
        <f t="shared" ref="S12:T13" si="6">+Q12+N12+K12</f>
        <v>76.671493988033006</v>
      </c>
      <c r="T12" s="101">
        <f t="shared" si="6"/>
        <v>0</v>
      </c>
      <c r="U12" s="92"/>
      <c r="V12" s="91"/>
      <c r="W12" s="102"/>
      <c r="X12" s="98"/>
      <c r="Y12" s="102"/>
      <c r="Z12" s="98"/>
      <c r="AA12" s="98"/>
      <c r="AB12" s="98"/>
      <c r="AC12" s="91"/>
      <c r="AD12" s="98"/>
      <c r="AE12" s="98"/>
      <c r="AF12" s="98"/>
      <c r="AG12" s="91"/>
      <c r="AH12" s="460">
        <v>1</v>
      </c>
      <c r="AI12" s="299">
        <f>+AH12*G12*D12*0.17</f>
        <v>1.3255521181700001</v>
      </c>
      <c r="AK12" s="301">
        <f t="shared" si="0"/>
        <v>11.690203</v>
      </c>
      <c r="AL12" s="301">
        <f t="shared" si="1"/>
        <v>0</v>
      </c>
      <c r="AM12" s="301"/>
      <c r="AN12" s="301"/>
      <c r="AO12" s="299"/>
      <c r="AP12" s="301"/>
      <c r="AQ12" s="301"/>
    </row>
    <row r="13" spans="2:43" ht="20.100000000000001" customHeight="1" x14ac:dyDescent="0.3">
      <c r="B13" s="92"/>
      <c r="C13" s="95" t="s">
        <v>38</v>
      </c>
      <c r="D13" s="98">
        <v>0.66700000000000004</v>
      </c>
      <c r="E13" s="92">
        <v>1</v>
      </c>
      <c r="F13" s="92">
        <v>1</v>
      </c>
      <c r="G13" s="675">
        <f>(2.904)*3.281</f>
        <v>9.5280240000000003</v>
      </c>
      <c r="H13" s="98">
        <f>+D13</f>
        <v>0.66700000000000004</v>
      </c>
      <c r="I13" s="94">
        <v>2</v>
      </c>
      <c r="J13" s="99">
        <v>3</v>
      </c>
      <c r="K13" s="100">
        <f>+IF(D13=0.667,E13*F13*G13*H13*J13,0)</f>
        <v>19.065576024000002</v>
      </c>
      <c r="L13" s="100">
        <f>+IF(D13=0.333,E13*F13*G13*J13,0)</f>
        <v>0</v>
      </c>
      <c r="M13" s="99">
        <v>4</v>
      </c>
      <c r="N13" s="100">
        <f>+IF(D13=0.667,E13*F13*G13*H13*M13,0)</f>
        <v>25.420768032000002</v>
      </c>
      <c r="O13" s="100">
        <f>+IF(D13=0.333,E13*F13*G13*M13,0)</f>
        <v>0</v>
      </c>
      <c r="P13" s="81">
        <f t="shared" si="5"/>
        <v>2.8330000000000002</v>
      </c>
      <c r="Q13" s="100">
        <f>+IF(D13=0.667,E13*F13*G13*H13*P13,0)</f>
        <v>18.004258958664003</v>
      </c>
      <c r="R13" s="100">
        <f>+IF(D13=0.333,E13*F13*G13*P13,0)</f>
        <v>0</v>
      </c>
      <c r="S13" s="101">
        <f t="shared" si="6"/>
        <v>62.490603014664011</v>
      </c>
      <c r="T13" s="101">
        <f t="shared" si="6"/>
        <v>0</v>
      </c>
      <c r="U13" s="92"/>
      <c r="V13" s="91"/>
      <c r="W13" s="102"/>
      <c r="X13" s="98"/>
      <c r="Y13" s="102"/>
      <c r="Z13" s="98"/>
      <c r="AA13" s="98"/>
      <c r="AB13" s="98"/>
      <c r="AC13" s="91"/>
      <c r="AD13" s="98"/>
      <c r="AE13" s="98"/>
      <c r="AF13" s="98"/>
      <c r="AG13" s="91"/>
      <c r="AH13" s="460">
        <v>1</v>
      </c>
      <c r="AI13" s="299">
        <f>+AH13*G13*D13*0.17</f>
        <v>1.0803826413600002</v>
      </c>
      <c r="AK13" s="301">
        <f t="shared" si="0"/>
        <v>9.5280240000000003</v>
      </c>
      <c r="AL13" s="301">
        <f t="shared" si="1"/>
        <v>0</v>
      </c>
      <c r="AM13" s="301"/>
      <c r="AN13" s="301"/>
      <c r="AO13" s="299"/>
      <c r="AP13" s="301"/>
      <c r="AQ13" s="301"/>
    </row>
    <row r="14" spans="2:43" ht="20.100000000000001" customHeight="1" x14ac:dyDescent="0.3">
      <c r="B14" s="92"/>
      <c r="C14" s="95" t="s">
        <v>31</v>
      </c>
      <c r="D14" s="98">
        <v>0.66700000000000004</v>
      </c>
      <c r="E14" s="415">
        <f>1*0</f>
        <v>0</v>
      </c>
      <c r="F14" s="415">
        <f>1*0</f>
        <v>0</v>
      </c>
      <c r="G14" s="98">
        <f>(5.086)*3.281</f>
        <v>16.687166000000001</v>
      </c>
      <c r="H14" s="98">
        <f>+D14</f>
        <v>0.66700000000000004</v>
      </c>
      <c r="I14" s="94">
        <v>2</v>
      </c>
      <c r="J14" s="99">
        <v>3</v>
      </c>
      <c r="K14" s="100">
        <f>+IF(D14=0.667,E14*F14*G14*H14*J14,0)</f>
        <v>0</v>
      </c>
      <c r="L14" s="100">
        <f>+IF(D14=0.333,E14*F14*G14*J14,0)</f>
        <v>0</v>
      </c>
      <c r="M14" s="99">
        <v>4</v>
      </c>
      <c r="N14" s="100">
        <f>+IF(D14=0.667,E14*F14*G14*H14*M14,0)</f>
        <v>0</v>
      </c>
      <c r="O14" s="100">
        <f>+IF(D14=0.333,E14*F14*G14*M14,0)</f>
        <v>0</v>
      </c>
      <c r="P14" s="81">
        <f t="shared" si="5"/>
        <v>2.8330000000000002</v>
      </c>
      <c r="Q14" s="100">
        <f>+IF(D14=0.667,E14*F14*G14*H14*P14,0)</f>
        <v>0</v>
      </c>
      <c r="R14" s="100">
        <f>+IF(D14=0.333,E14*F14*G14*P14,0)</f>
        <v>0</v>
      </c>
      <c r="S14" s="555">
        <f t="shared" ref="S14" si="7">+Q14+N14+K14</f>
        <v>0</v>
      </c>
      <c r="T14" s="101">
        <f t="shared" ref="T14" si="8">+R14+O14+L14</f>
        <v>0</v>
      </c>
      <c r="U14" s="92"/>
      <c r="V14" s="91"/>
      <c r="W14" s="102"/>
      <c r="X14" s="98"/>
      <c r="Y14" s="102"/>
      <c r="Z14" s="98"/>
      <c r="AA14" s="98"/>
      <c r="AB14" s="98"/>
      <c r="AC14" s="91"/>
      <c r="AD14" s="98"/>
      <c r="AE14" s="98"/>
      <c r="AF14" s="98"/>
      <c r="AG14" s="91"/>
      <c r="AH14" s="415">
        <f>1*0</f>
        <v>0</v>
      </c>
      <c r="AI14" s="299">
        <f>+AH14*G14*D14*0.17</f>
        <v>0</v>
      </c>
      <c r="AK14" s="301"/>
      <c r="AL14" s="301"/>
      <c r="AM14" s="301"/>
      <c r="AN14" s="301"/>
      <c r="AO14" s="299"/>
      <c r="AP14" s="301"/>
      <c r="AQ14" s="301"/>
    </row>
    <row r="15" spans="2:43" ht="20.100000000000001" customHeight="1" x14ac:dyDescent="0.3">
      <c r="B15" s="92"/>
      <c r="C15" s="96"/>
      <c r="D15" s="92"/>
      <c r="E15" s="92"/>
      <c r="F15" s="92"/>
      <c r="G15" s="92"/>
      <c r="H15" s="92"/>
      <c r="I15" s="94"/>
      <c r="J15" s="92"/>
      <c r="K15" s="92"/>
      <c r="L15" s="92"/>
      <c r="M15" s="92"/>
      <c r="N15" s="92"/>
      <c r="O15" s="92"/>
      <c r="P15" s="92"/>
      <c r="Q15" s="92"/>
      <c r="R15" s="92"/>
      <c r="S15" s="92"/>
      <c r="T15" s="92"/>
      <c r="U15" s="92"/>
      <c r="V15" s="95"/>
      <c r="W15" s="92"/>
      <c r="X15" s="92"/>
      <c r="Y15" s="92"/>
      <c r="Z15" s="92"/>
      <c r="AA15" s="92"/>
      <c r="AB15" s="92"/>
      <c r="AC15" s="95"/>
      <c r="AD15" s="92"/>
      <c r="AE15" s="92"/>
      <c r="AF15" s="92"/>
      <c r="AG15" s="95"/>
      <c r="AH15" s="692"/>
      <c r="AI15" s="306"/>
      <c r="AK15" s="301"/>
      <c r="AL15" s="301"/>
      <c r="AM15" s="301"/>
      <c r="AN15" s="301"/>
      <c r="AO15" s="299"/>
      <c r="AP15" s="301"/>
      <c r="AQ15" s="301"/>
    </row>
    <row r="16" spans="2:43" ht="20.100000000000001" customHeight="1" x14ac:dyDescent="0.3">
      <c r="B16" s="92"/>
      <c r="C16" s="97" t="s">
        <v>331</v>
      </c>
      <c r="D16" s="98"/>
      <c r="E16" s="92"/>
      <c r="F16" s="92"/>
      <c r="G16" s="98"/>
      <c r="H16" s="98"/>
      <c r="I16" s="94"/>
      <c r="J16" s="92"/>
      <c r="K16" s="92"/>
      <c r="L16" s="92"/>
      <c r="M16" s="92"/>
      <c r="N16" s="92"/>
      <c r="O16" s="92"/>
      <c r="P16" s="92"/>
      <c r="Q16" s="92"/>
      <c r="R16" s="92"/>
      <c r="S16" s="92"/>
      <c r="T16" s="92"/>
      <c r="U16" s="92"/>
      <c r="V16" s="91"/>
      <c r="W16" s="102"/>
      <c r="X16" s="98"/>
      <c r="Y16" s="102"/>
      <c r="Z16" s="98"/>
      <c r="AA16" s="98"/>
      <c r="AB16" s="98"/>
      <c r="AC16" s="91"/>
      <c r="AD16" s="98"/>
      <c r="AE16" s="98"/>
      <c r="AF16" s="98"/>
      <c r="AG16" s="91"/>
      <c r="AH16" s="460"/>
      <c r="AI16" s="299"/>
      <c r="AK16" s="301"/>
      <c r="AL16" s="301"/>
      <c r="AM16" s="301"/>
      <c r="AN16" s="301"/>
      <c r="AO16" s="299"/>
      <c r="AP16" s="301"/>
      <c r="AQ16" s="301"/>
    </row>
    <row r="17" spans="2:43" ht="20.100000000000001" customHeight="1" x14ac:dyDescent="0.3">
      <c r="B17" s="92"/>
      <c r="C17" s="95" t="s">
        <v>559</v>
      </c>
      <c r="D17" s="98">
        <v>0.66700000000000004</v>
      </c>
      <c r="E17" s="92">
        <v>1</v>
      </c>
      <c r="F17" s="92">
        <v>2</v>
      </c>
      <c r="G17" s="675">
        <f>(1.2)*3.281</f>
        <v>3.9371999999999998</v>
      </c>
      <c r="H17" s="98">
        <f>+D17</f>
        <v>0.66700000000000004</v>
      </c>
      <c r="I17" s="94">
        <v>2</v>
      </c>
      <c r="J17" s="99">
        <v>3</v>
      </c>
      <c r="K17" s="100">
        <f>+IF(D17=0.667,E17*F17*G17*H17*J17,0)</f>
        <v>15.756674400000001</v>
      </c>
      <c r="L17" s="100">
        <f>+IF(D17=0.333,E17*F17*G17*J17,0)</f>
        <v>0</v>
      </c>
      <c r="M17" s="99">
        <v>4</v>
      </c>
      <c r="N17" s="100">
        <f>+IF(D17=0.667,E17*F17*G17*H17*M17,0)</f>
        <v>21.008899200000002</v>
      </c>
      <c r="O17" s="100">
        <f>+IF(D17=0.333,E17*F17*G17*M17,0)</f>
        <v>0</v>
      </c>
      <c r="P17" s="81">
        <f t="shared" ref="P17:P19" si="9">11.833-I17-M17-J17</f>
        <v>2.8330000000000002</v>
      </c>
      <c r="Q17" s="100">
        <f>+IF(D17=0.667,E17*F17*G17*H17*P17,0)</f>
        <v>14.879552858400002</v>
      </c>
      <c r="R17" s="100">
        <f>+IF(D17=0.333,E17*F17*G17*P17,0)</f>
        <v>0</v>
      </c>
      <c r="S17" s="101">
        <f t="shared" ref="S17:T19" si="10">+Q17+N17+K17</f>
        <v>51.645126458400007</v>
      </c>
      <c r="T17" s="101">
        <f t="shared" si="10"/>
        <v>0</v>
      </c>
      <c r="U17" s="92"/>
      <c r="V17" s="91"/>
      <c r="W17" s="102"/>
      <c r="X17" s="98"/>
      <c r="Y17" s="102"/>
      <c r="Z17" s="98"/>
      <c r="AA17" s="98"/>
      <c r="AB17" s="98"/>
      <c r="AC17" s="91"/>
      <c r="AD17" s="98"/>
      <c r="AE17" s="98"/>
      <c r="AF17" s="98"/>
      <c r="AG17" s="91"/>
      <c r="AH17" s="460">
        <v>1</v>
      </c>
      <c r="AI17" s="299">
        <f>+AH17*G17*D17*0.17</f>
        <v>0.44643910800000008</v>
      </c>
      <c r="AK17" s="301">
        <f t="shared" si="0"/>
        <v>7.8743999999999996</v>
      </c>
      <c r="AL17" s="301">
        <f t="shared" si="1"/>
        <v>0</v>
      </c>
      <c r="AM17" s="301"/>
      <c r="AN17" s="301"/>
      <c r="AO17" s="299"/>
      <c r="AP17" s="301"/>
      <c r="AQ17" s="301"/>
    </row>
    <row r="18" spans="2:43" ht="20.100000000000001" customHeight="1" x14ac:dyDescent="0.3">
      <c r="B18" s="92"/>
      <c r="C18" s="95" t="s">
        <v>560</v>
      </c>
      <c r="D18" s="98">
        <v>0.66700000000000004</v>
      </c>
      <c r="E18" s="92">
        <v>-1</v>
      </c>
      <c r="F18" s="92">
        <v>1</v>
      </c>
      <c r="G18" s="675">
        <v>0.9</v>
      </c>
      <c r="H18" s="98">
        <f>+D18</f>
        <v>0.66700000000000004</v>
      </c>
      <c r="I18" s="102"/>
      <c r="J18" s="99"/>
      <c r="K18" s="100">
        <f>+IF(D18=0.667,E18*F18*G18*H18*J18,0)</f>
        <v>0</v>
      </c>
      <c r="L18" s="100">
        <f>+IF(D18=0.333,E18*F18*G18*J18,0)</f>
        <v>0</v>
      </c>
      <c r="M18" s="99">
        <v>4</v>
      </c>
      <c r="N18" s="100">
        <f>+IF(D18=0.667,E18*F18*G18*H18*M18,0)</f>
        <v>-2.4012000000000002</v>
      </c>
      <c r="O18" s="100">
        <f>+IF(D18=0.333,E18*F18*G18*M18,0)</f>
        <v>0</v>
      </c>
      <c r="P18" s="99"/>
      <c r="Q18" s="100">
        <f>+IF(D18=0.667,E18*F18*G18*H18*P18,0)</f>
        <v>0</v>
      </c>
      <c r="R18" s="100">
        <f>+IF(D18=0.333,E18*F18*G18*P18,0)</f>
        <v>0</v>
      </c>
      <c r="S18" s="101">
        <f t="shared" si="10"/>
        <v>-2.4012000000000002</v>
      </c>
      <c r="T18" s="101">
        <f t="shared" si="10"/>
        <v>0</v>
      </c>
      <c r="U18" s="92"/>
      <c r="V18" s="91"/>
      <c r="W18" s="690">
        <f>+G18+D18*2</f>
        <v>2.234</v>
      </c>
      <c r="X18" s="690">
        <v>0.5</v>
      </c>
      <c r="Y18" s="690">
        <f>+IF(D18=0.667,-E18*F18*H18*W18*X18,0)</f>
        <v>0.74503900000000001</v>
      </c>
      <c r="Z18" s="690">
        <f>+IF(D18=0.333,-E18*F18*H18*W18*X18,0)</f>
        <v>0</v>
      </c>
      <c r="AA18" s="690">
        <f>+F18*G18*H18</f>
        <v>0.60030000000000006</v>
      </c>
      <c r="AB18" s="690">
        <f t="shared" ref="AB18" si="11">2*F18*W18*X18</f>
        <v>2.234</v>
      </c>
      <c r="AC18" s="91"/>
      <c r="AD18" s="98"/>
      <c r="AE18" s="98">
        <f>+IF(D18=0.667,AD18*W18*H18*F18,0)</f>
        <v>0</v>
      </c>
      <c r="AF18" s="98">
        <f>+IF(D18=0.333,AD18*W18*H18*F18,0)</f>
        <v>0</v>
      </c>
      <c r="AG18" s="91"/>
      <c r="AH18" s="460"/>
      <c r="AI18" s="299">
        <f>+AH18*G18*D18*0.17</f>
        <v>0</v>
      </c>
      <c r="AK18" s="301">
        <f t="shared" ref="AK18" si="12">+IF(D18=0.667,E18*F18*G18,0)</f>
        <v>-0.9</v>
      </c>
      <c r="AL18" s="301">
        <f t="shared" ref="AL18" si="13">+IF(D18=0.333,E18*F18*G18,0)</f>
        <v>0</v>
      </c>
      <c r="AM18" s="301">
        <f>+IF(D18=0.667,1.33,0)</f>
        <v>1.33</v>
      </c>
      <c r="AN18" s="301"/>
      <c r="AO18" s="299"/>
      <c r="AP18" s="301"/>
      <c r="AQ18" s="301"/>
    </row>
    <row r="19" spans="2:43" ht="20.100000000000001" customHeight="1" x14ac:dyDescent="0.3">
      <c r="B19" s="92"/>
      <c r="C19" s="95" t="s">
        <v>31</v>
      </c>
      <c r="D19" s="98">
        <v>0.66700000000000004</v>
      </c>
      <c r="E19" s="92">
        <v>1</v>
      </c>
      <c r="F19" s="92">
        <v>1</v>
      </c>
      <c r="G19" s="675">
        <f>(1.702)*3.281</f>
        <v>5.5842619999999998</v>
      </c>
      <c r="H19" s="98">
        <f>+D19</f>
        <v>0.66700000000000004</v>
      </c>
      <c r="I19" s="94">
        <v>2</v>
      </c>
      <c r="J19" s="99">
        <v>3</v>
      </c>
      <c r="K19" s="100">
        <f>+IF(D19=0.667,E19*F19*G19*H19*J19,0)</f>
        <v>11.174108262000001</v>
      </c>
      <c r="L19" s="100">
        <f>+IF(D19=0.333,E19*F19*G19*J19,0)</f>
        <v>0</v>
      </c>
      <c r="M19" s="99">
        <v>4</v>
      </c>
      <c r="N19" s="100">
        <f>+IF(D19=0.667,E19*F19*G19*H19*M19,0)</f>
        <v>14.898811016</v>
      </c>
      <c r="O19" s="100">
        <f>+IF(D19=0.333,E19*F19*G19*M19,0)</f>
        <v>0</v>
      </c>
      <c r="P19" s="81">
        <f t="shared" si="9"/>
        <v>2.8330000000000002</v>
      </c>
      <c r="Q19" s="100">
        <f>+IF(D19=0.667,E19*F19*G19*H19*P19,0)</f>
        <v>10.552082902082001</v>
      </c>
      <c r="R19" s="100">
        <f>+IF(D19=0.333,E19*F19*G19*P19,0)</f>
        <v>0</v>
      </c>
      <c r="S19" s="101">
        <f t="shared" si="10"/>
        <v>36.625002180082006</v>
      </c>
      <c r="T19" s="101">
        <f t="shared" si="10"/>
        <v>0</v>
      </c>
      <c r="U19" s="92"/>
      <c r="V19" s="91"/>
      <c r="W19" s="102"/>
      <c r="X19" s="98"/>
      <c r="Y19" s="102"/>
      <c r="Z19" s="98"/>
      <c r="AA19" s="98"/>
      <c r="AB19" s="98"/>
      <c r="AC19" s="91"/>
      <c r="AD19" s="98"/>
      <c r="AE19" s="98"/>
      <c r="AF19" s="98"/>
      <c r="AG19" s="91"/>
      <c r="AH19" s="460">
        <v>1</v>
      </c>
      <c r="AI19" s="299">
        <f>+AH19*G19*D19*0.17</f>
        <v>0.63319946818000006</v>
      </c>
      <c r="AK19" s="301">
        <f t="shared" si="0"/>
        <v>5.5842619999999998</v>
      </c>
      <c r="AL19" s="301">
        <f t="shared" si="1"/>
        <v>0</v>
      </c>
      <c r="AM19" s="301"/>
      <c r="AN19" s="301"/>
      <c r="AO19" s="299"/>
      <c r="AP19" s="301"/>
      <c r="AQ19" s="301"/>
    </row>
    <row r="20" spans="2:43" ht="20.100000000000001" customHeight="1" x14ac:dyDescent="0.3">
      <c r="B20" s="92"/>
      <c r="C20" s="95"/>
      <c r="D20" s="98"/>
      <c r="E20" s="92"/>
      <c r="F20" s="92"/>
      <c r="G20" s="98"/>
      <c r="H20" s="98"/>
      <c r="I20" s="102"/>
      <c r="J20" s="92"/>
      <c r="K20" s="92"/>
      <c r="L20" s="92"/>
      <c r="M20" s="92"/>
      <c r="N20" s="92"/>
      <c r="O20" s="92"/>
      <c r="P20" s="92"/>
      <c r="Q20" s="92"/>
      <c r="R20" s="92"/>
      <c r="S20" s="92"/>
      <c r="T20" s="92"/>
      <c r="U20" s="92"/>
      <c r="V20" s="91"/>
      <c r="W20" s="98"/>
      <c r="X20" s="98"/>
      <c r="Y20" s="98"/>
      <c r="Z20" s="98"/>
      <c r="AA20" s="98"/>
      <c r="AB20" s="98"/>
      <c r="AC20" s="91"/>
      <c r="AD20" s="98"/>
      <c r="AE20" s="98"/>
      <c r="AF20" s="98"/>
      <c r="AG20" s="91"/>
      <c r="AH20" s="296"/>
      <c r="AI20" s="301"/>
      <c r="AK20" s="301"/>
      <c r="AL20" s="301"/>
      <c r="AM20" s="301"/>
      <c r="AN20" s="301"/>
      <c r="AO20" s="299"/>
      <c r="AP20" s="301"/>
      <c r="AQ20" s="301"/>
    </row>
    <row r="21" spans="2:43" ht="20.100000000000001" customHeight="1" x14ac:dyDescent="0.3">
      <c r="B21" s="92"/>
      <c r="C21" s="97" t="s">
        <v>332</v>
      </c>
      <c r="D21" s="98"/>
      <c r="E21" s="92"/>
      <c r="F21" s="92"/>
      <c r="G21" s="98"/>
      <c r="H21" s="98"/>
      <c r="I21" s="94"/>
      <c r="J21" s="92"/>
      <c r="K21" s="92"/>
      <c r="L21" s="92"/>
      <c r="M21" s="92"/>
      <c r="N21" s="92"/>
      <c r="O21" s="92"/>
      <c r="P21" s="92"/>
      <c r="Q21" s="92"/>
      <c r="R21" s="92"/>
      <c r="S21" s="92"/>
      <c r="T21" s="92"/>
      <c r="U21" s="92"/>
      <c r="V21" s="91"/>
      <c r="W21" s="102"/>
      <c r="X21" s="98"/>
      <c r="Y21" s="102"/>
      <c r="Z21" s="98"/>
      <c r="AA21" s="98"/>
      <c r="AB21" s="98"/>
      <c r="AC21" s="91"/>
      <c r="AD21" s="98"/>
      <c r="AE21" s="98"/>
      <c r="AF21" s="98"/>
      <c r="AG21" s="91"/>
      <c r="AH21" s="692"/>
      <c r="AI21" s="299"/>
      <c r="AK21" s="301"/>
      <c r="AL21" s="301"/>
      <c r="AM21" s="301"/>
      <c r="AN21" s="301">
        <f>+IF(D21=0.333,1.33,0)</f>
        <v>0</v>
      </c>
      <c r="AO21" s="299"/>
      <c r="AP21" s="301"/>
      <c r="AQ21" s="301"/>
    </row>
    <row r="22" spans="2:43" ht="20.100000000000001" customHeight="1" x14ac:dyDescent="0.3">
      <c r="B22" s="92"/>
      <c r="C22" s="95" t="s">
        <v>33</v>
      </c>
      <c r="D22" s="98">
        <v>0.66700000000000004</v>
      </c>
      <c r="E22" s="92">
        <v>1</v>
      </c>
      <c r="F22" s="92">
        <v>1</v>
      </c>
      <c r="G22" s="675">
        <f>+(2.135*3.281)</f>
        <v>7.0049349999999997</v>
      </c>
      <c r="H22" s="98">
        <f>+D22</f>
        <v>0.66700000000000004</v>
      </c>
      <c r="I22" s="94">
        <v>2</v>
      </c>
      <c r="J22" s="99">
        <v>3</v>
      </c>
      <c r="K22" s="100">
        <f>+IF(D22=0.667,E22*F22*G22*H22*J22,0)</f>
        <v>14.016874935000001</v>
      </c>
      <c r="L22" s="100">
        <f>+IF(D22=0.333,E22*F22*G22*J22,0)</f>
        <v>0</v>
      </c>
      <c r="M22" s="99">
        <v>4</v>
      </c>
      <c r="N22" s="100">
        <f>+IF(D22=0.667,E22*F22*G22*H22*M22,0)</f>
        <v>18.689166580000002</v>
      </c>
      <c r="O22" s="100">
        <f>+IF(D22=0.333,E22*F22*G22*M22,0)</f>
        <v>0</v>
      </c>
      <c r="P22" s="81">
        <f>11.833-I22-M22-J22</f>
        <v>2.8330000000000002</v>
      </c>
      <c r="Q22" s="100">
        <f>+IF(D22=0.667,E22*F22*G22*H22*P22,0)</f>
        <v>13.236602230285003</v>
      </c>
      <c r="R22" s="100">
        <f>+IF(D22=0.333,E22*F22*G22*P22,0)</f>
        <v>0</v>
      </c>
      <c r="S22" s="101">
        <f t="shared" ref="S22:T25" si="14">+Q22+N22+K22</f>
        <v>45.942643745285011</v>
      </c>
      <c r="T22" s="101">
        <f t="shared" si="14"/>
        <v>0</v>
      </c>
      <c r="U22" s="92"/>
      <c r="V22" s="91"/>
      <c r="W22" s="102"/>
      <c r="X22" s="98"/>
      <c r="Y22" s="102"/>
      <c r="Z22" s="98"/>
      <c r="AA22" s="98"/>
      <c r="AB22" s="98"/>
      <c r="AC22" s="91"/>
      <c r="AD22" s="98"/>
      <c r="AE22" s="98"/>
      <c r="AF22" s="98"/>
      <c r="AG22" s="91"/>
      <c r="AH22" s="692">
        <v>1</v>
      </c>
      <c r="AI22" s="299">
        <f>+AH22*G22*D22*0.17</f>
        <v>0.79428957965000013</v>
      </c>
      <c r="AK22" s="301">
        <f t="shared" si="0"/>
        <v>7.0049349999999997</v>
      </c>
      <c r="AL22" s="301">
        <f t="shared" si="1"/>
        <v>0</v>
      </c>
      <c r="AM22" s="301"/>
      <c r="AN22" s="301">
        <f>+IF(D22=0.333,1.33,0)</f>
        <v>0</v>
      </c>
      <c r="AO22" s="299"/>
      <c r="AP22" s="301">
        <f>+S22</f>
        <v>45.942643745285011</v>
      </c>
      <c r="AQ22" s="301"/>
    </row>
    <row r="23" spans="2:43" ht="20.100000000000001" customHeight="1" x14ac:dyDescent="0.3">
      <c r="B23" s="18"/>
      <c r="C23" s="62" t="s">
        <v>130</v>
      </c>
      <c r="D23" s="98">
        <v>0.66700000000000004</v>
      </c>
      <c r="E23" s="18">
        <v>-1</v>
      </c>
      <c r="F23" s="18">
        <v>1</v>
      </c>
      <c r="G23" s="675">
        <v>3</v>
      </c>
      <c r="H23" s="20">
        <f t="shared" ref="H23" si="15">+D23</f>
        <v>0.66700000000000004</v>
      </c>
      <c r="I23" s="21"/>
      <c r="J23" s="22">
        <v>3</v>
      </c>
      <c r="K23" s="103">
        <f t="shared" ref="K23" si="16">+IF(D23=0.667,E23*F23*G23*H23*J23,0)</f>
        <v>-6.003000000000001</v>
      </c>
      <c r="L23" s="103">
        <f t="shared" ref="L23" si="17">+IF(D23=0.333,E23*F23*G23*J23,0)</f>
        <v>0</v>
      </c>
      <c r="M23" s="81">
        <v>4</v>
      </c>
      <c r="N23" s="103">
        <f t="shared" ref="N23" si="18">+IF(D23=0.667,E23*F23*G23*H23*M23,0)</f>
        <v>-8.0040000000000013</v>
      </c>
      <c r="O23" s="103">
        <f t="shared" ref="O23" si="19">+IF(D23=0.333,E23*F23*G23*M23,0)</f>
        <v>0</v>
      </c>
      <c r="P23" s="81"/>
      <c r="Q23" s="103">
        <f t="shared" ref="Q23" si="20">+IF(D23=0.667,E23*F23*G23*H23*P23,0)</f>
        <v>0</v>
      </c>
      <c r="R23" s="103">
        <f t="shared" ref="R23" si="21">+IF(D23=0.333,E23*F23*G23*P23,0)</f>
        <v>0</v>
      </c>
      <c r="S23" s="104">
        <f t="shared" si="14"/>
        <v>-14.007000000000001</v>
      </c>
      <c r="T23" s="104">
        <f t="shared" si="14"/>
        <v>0</v>
      </c>
      <c r="U23" s="18"/>
      <c r="V23" s="26"/>
      <c r="W23" s="225">
        <f>+G23+D23</f>
        <v>3.6669999999999998</v>
      </c>
      <c r="X23" s="225">
        <v>0.5</v>
      </c>
      <c r="Y23" s="225">
        <f>+IF(D23=0.667,-E23*F23*H23*W23*X23,0)</f>
        <v>1.2229445000000001</v>
      </c>
      <c r="Z23" s="225">
        <f>+IF(D23=0.333,-E23*F23*H23*W23*X23,0)</f>
        <v>0</v>
      </c>
      <c r="AA23" s="225">
        <f>+F23*G23*H23</f>
        <v>2.0010000000000003</v>
      </c>
      <c r="AB23" s="225">
        <f t="shared" ref="AB23" si="22">2*F23*W23*X23</f>
        <v>3.6669999999999998</v>
      </c>
      <c r="AC23" s="27"/>
      <c r="AD23" s="21"/>
      <c r="AE23" s="21"/>
      <c r="AF23" s="21"/>
      <c r="AG23" s="27"/>
      <c r="AH23" s="306"/>
      <c r="AI23" s="299"/>
      <c r="AK23" s="301">
        <f t="shared" si="0"/>
        <v>-3</v>
      </c>
      <c r="AL23" s="301">
        <f t="shared" si="1"/>
        <v>0</v>
      </c>
      <c r="AM23" s="301"/>
      <c r="AN23" s="301"/>
      <c r="AO23" s="299"/>
      <c r="AP23" s="301">
        <f t="shared" ref="AP23:AP27" si="23">+S23</f>
        <v>-14.007000000000001</v>
      </c>
      <c r="AQ23" s="301"/>
    </row>
    <row r="24" spans="2:43" ht="20.100000000000001" customHeight="1" x14ac:dyDescent="0.3">
      <c r="B24" s="92"/>
      <c r="C24" s="95" t="s">
        <v>31</v>
      </c>
      <c r="D24" s="98">
        <v>0.66700000000000004</v>
      </c>
      <c r="E24" s="92">
        <v>1</v>
      </c>
      <c r="F24" s="92">
        <v>1</v>
      </c>
      <c r="G24" s="675">
        <f>(3.513)*3.281</f>
        <v>11.526153000000001</v>
      </c>
      <c r="H24" s="98">
        <f>+D24</f>
        <v>0.66700000000000004</v>
      </c>
      <c r="I24" s="94">
        <v>2</v>
      </c>
      <c r="J24" s="99">
        <v>3</v>
      </c>
      <c r="K24" s="100">
        <f>+IF(D24=0.667,E24*F24*G24*H24*J24,0)</f>
        <v>23.063832153</v>
      </c>
      <c r="L24" s="100">
        <f>+IF(D24=0.333,E24*F24*G24*J24,0)</f>
        <v>0</v>
      </c>
      <c r="M24" s="99">
        <v>4</v>
      </c>
      <c r="N24" s="100">
        <f>+IF(D24=0.667,E24*F24*G24*H24*M24,0)</f>
        <v>30.751776204000002</v>
      </c>
      <c r="O24" s="100">
        <f>+IF(D24=0.333,E24*F24*G24*M24,0)</f>
        <v>0</v>
      </c>
      <c r="P24" s="81">
        <f t="shared" ref="P24:P25" si="24">11.833-I24-M24-J24</f>
        <v>2.8330000000000002</v>
      </c>
      <c r="Q24" s="100">
        <f>+IF(D24=0.667,E24*F24*G24*H24*P24,0)</f>
        <v>21.779945496483002</v>
      </c>
      <c r="R24" s="100">
        <f>+IF(D24=0.333,E24*F24*G24*P24,0)</f>
        <v>0</v>
      </c>
      <c r="S24" s="101">
        <f t="shared" si="14"/>
        <v>75.595553853483011</v>
      </c>
      <c r="T24" s="101">
        <f t="shared" si="14"/>
        <v>0</v>
      </c>
      <c r="U24" s="92"/>
      <c r="V24" s="91"/>
      <c r="W24" s="102"/>
      <c r="X24" s="98"/>
      <c r="Y24" s="102"/>
      <c r="Z24" s="98"/>
      <c r="AA24" s="98"/>
      <c r="AB24" s="98"/>
      <c r="AC24" s="91"/>
      <c r="AD24" s="98"/>
      <c r="AE24" s="98"/>
      <c r="AF24" s="98"/>
      <c r="AG24" s="91"/>
      <c r="AH24" s="460">
        <v>1</v>
      </c>
      <c r="AI24" s="299">
        <f>+AH24*G24*D24*0.17</f>
        <v>1.3069504886700003</v>
      </c>
      <c r="AK24" s="301">
        <f t="shared" si="0"/>
        <v>11.526153000000001</v>
      </c>
      <c r="AL24" s="301">
        <f t="shared" si="1"/>
        <v>0</v>
      </c>
      <c r="AM24" s="301"/>
      <c r="AN24" s="301"/>
      <c r="AO24" s="299"/>
      <c r="AP24" s="301">
        <f t="shared" si="23"/>
        <v>75.595553853483011</v>
      </c>
      <c r="AQ24" s="301"/>
    </row>
    <row r="25" spans="2:43" ht="20.100000000000001" customHeight="1" x14ac:dyDescent="0.3">
      <c r="B25" s="92"/>
      <c r="C25" s="95" t="s">
        <v>32</v>
      </c>
      <c r="D25" s="98">
        <v>0.66700000000000004</v>
      </c>
      <c r="E25" s="92">
        <v>1</v>
      </c>
      <c r="F25" s="92">
        <v>1</v>
      </c>
      <c r="G25" s="675">
        <f>(2.135)*3.281</f>
        <v>7.0049349999999997</v>
      </c>
      <c r="H25" s="98">
        <f>+D25</f>
        <v>0.66700000000000004</v>
      </c>
      <c r="I25" s="94">
        <v>2</v>
      </c>
      <c r="J25" s="99">
        <v>3</v>
      </c>
      <c r="K25" s="100">
        <f>+IF(D25=0.667,E25*F25*G25*H25*J25,0)</f>
        <v>14.016874935000001</v>
      </c>
      <c r="L25" s="100">
        <f>+IF(D25=0.333,E25*F25*G25*J25,0)</f>
        <v>0</v>
      </c>
      <c r="M25" s="99">
        <v>4</v>
      </c>
      <c r="N25" s="100">
        <f>+IF(D25=0.667,E25*F25*G25*H25*M25,0)</f>
        <v>18.689166580000002</v>
      </c>
      <c r="O25" s="100">
        <f>+IF(D25=0.333,E25*F25*G25*M25,0)</f>
        <v>0</v>
      </c>
      <c r="P25" s="81">
        <f t="shared" si="24"/>
        <v>2.8330000000000002</v>
      </c>
      <c r="Q25" s="100">
        <f>+IF(D25=0.667,E25*F25*G25*H25*P25,0)</f>
        <v>13.236602230285003</v>
      </c>
      <c r="R25" s="100">
        <f>+IF(D25=0.333,E25*F25*G25*P25,0)</f>
        <v>0</v>
      </c>
      <c r="S25" s="101">
        <f t="shared" si="14"/>
        <v>45.942643745285011</v>
      </c>
      <c r="T25" s="101">
        <f t="shared" si="14"/>
        <v>0</v>
      </c>
      <c r="U25" s="92"/>
      <c r="V25" s="91"/>
      <c r="W25" s="102"/>
      <c r="X25" s="98"/>
      <c r="Y25" s="102"/>
      <c r="Z25" s="98"/>
      <c r="AA25" s="98"/>
      <c r="AB25" s="98"/>
      <c r="AC25" s="91"/>
      <c r="AD25" s="98"/>
      <c r="AE25" s="98"/>
      <c r="AF25" s="98"/>
      <c r="AG25" s="91"/>
      <c r="AH25" s="460">
        <v>1</v>
      </c>
      <c r="AI25" s="299">
        <f>+AH25*G25*D25*0.17</f>
        <v>0.79428957965000013</v>
      </c>
      <c r="AK25" s="301">
        <f t="shared" si="0"/>
        <v>7.0049349999999997</v>
      </c>
      <c r="AL25" s="301">
        <f t="shared" si="1"/>
        <v>0</v>
      </c>
      <c r="AM25" s="301"/>
      <c r="AN25" s="301"/>
      <c r="AO25" s="299"/>
      <c r="AP25" s="301">
        <f t="shared" si="23"/>
        <v>45.942643745285011</v>
      </c>
      <c r="AQ25" s="301"/>
    </row>
    <row r="26" spans="2:43" ht="20.100000000000001" customHeight="1" x14ac:dyDescent="0.3">
      <c r="B26" s="369"/>
      <c r="C26" s="370"/>
      <c r="D26" s="371"/>
      <c r="E26" s="369"/>
      <c r="F26" s="369"/>
      <c r="G26" s="371"/>
      <c r="H26" s="371"/>
      <c r="I26" s="372"/>
      <c r="J26" s="92"/>
      <c r="K26" s="92"/>
      <c r="L26" s="92"/>
      <c r="M26" s="92"/>
      <c r="N26" s="92"/>
      <c r="O26" s="92"/>
      <c r="P26" s="92"/>
      <c r="Q26" s="92"/>
      <c r="R26" s="92"/>
      <c r="S26" s="92"/>
      <c r="T26" s="92"/>
      <c r="U26" s="369"/>
      <c r="V26" s="373"/>
      <c r="W26" s="374"/>
      <c r="X26" s="371"/>
      <c r="Y26" s="374"/>
      <c r="Z26" s="371"/>
      <c r="AA26" s="371"/>
      <c r="AB26" s="371"/>
      <c r="AC26" s="373"/>
      <c r="AD26" s="371"/>
      <c r="AE26" s="371"/>
      <c r="AF26" s="371"/>
      <c r="AG26" s="373"/>
      <c r="AH26" s="401"/>
      <c r="AI26" s="374"/>
      <c r="AK26" s="301"/>
      <c r="AL26" s="301"/>
      <c r="AM26" s="378"/>
      <c r="AN26" s="378"/>
      <c r="AO26" s="374"/>
      <c r="AP26" s="378"/>
      <c r="AQ26" s="378"/>
    </row>
    <row r="27" spans="2:43" ht="20.100000000000001" customHeight="1" x14ac:dyDescent="0.3">
      <c r="B27" s="92"/>
      <c r="C27" s="97" t="s">
        <v>332</v>
      </c>
      <c r="D27" s="98"/>
      <c r="E27" s="92"/>
      <c r="F27" s="92"/>
      <c r="G27" s="98"/>
      <c r="H27" s="98"/>
      <c r="I27" s="94"/>
      <c r="J27" s="92"/>
      <c r="K27" s="92"/>
      <c r="L27" s="92"/>
      <c r="M27" s="92"/>
      <c r="N27" s="92"/>
      <c r="O27" s="92"/>
      <c r="P27" s="92"/>
      <c r="Q27" s="92"/>
      <c r="R27" s="92"/>
      <c r="S27" s="92"/>
      <c r="T27" s="92"/>
      <c r="U27" s="92"/>
      <c r="V27" s="91"/>
      <c r="W27" s="102"/>
      <c r="X27" s="98"/>
      <c r="Y27" s="102"/>
      <c r="Z27" s="98"/>
      <c r="AA27" s="98"/>
      <c r="AB27" s="98"/>
      <c r="AC27" s="91"/>
      <c r="AD27" s="98"/>
      <c r="AE27" s="98"/>
      <c r="AF27" s="98"/>
      <c r="AG27" s="91"/>
      <c r="AH27" s="692"/>
      <c r="AI27" s="299"/>
      <c r="AK27" s="301"/>
      <c r="AL27" s="301"/>
      <c r="AM27" s="301"/>
      <c r="AN27" s="301">
        <f>+IF(D27=0.333,1.33,0)</f>
        <v>0</v>
      </c>
      <c r="AO27" s="299"/>
      <c r="AP27" s="301">
        <f t="shared" si="23"/>
        <v>0</v>
      </c>
      <c r="AQ27" s="301"/>
    </row>
    <row r="28" spans="2:43" ht="20.100000000000001" customHeight="1" x14ac:dyDescent="0.3">
      <c r="B28" s="92"/>
      <c r="C28" s="95" t="s">
        <v>33</v>
      </c>
      <c r="D28" s="98">
        <v>0.66700000000000004</v>
      </c>
      <c r="E28" s="92">
        <v>1</v>
      </c>
      <c r="F28" s="92">
        <v>1</v>
      </c>
      <c r="G28" s="675">
        <f>+(2.135*3.281)</f>
        <v>7.0049349999999997</v>
      </c>
      <c r="H28" s="98">
        <f>+D28</f>
        <v>0.66700000000000004</v>
      </c>
      <c r="I28" s="94">
        <v>2</v>
      </c>
      <c r="J28" s="99">
        <v>3</v>
      </c>
      <c r="K28" s="100">
        <f>+IF(D28=0.667,E28*F28*G28*H28*J28,0)</f>
        <v>14.016874935000001</v>
      </c>
      <c r="L28" s="100">
        <f>+IF(D28=0.333,E28*F28*G28*J28,0)</f>
        <v>0</v>
      </c>
      <c r="M28" s="99">
        <v>4</v>
      </c>
      <c r="N28" s="100">
        <f>+IF(D28=0.667,E28*F28*G28*H28*M28,0)</f>
        <v>18.689166580000002</v>
      </c>
      <c r="O28" s="100">
        <f>+IF(D28=0.333,E28*F28*G28*M28,0)</f>
        <v>0</v>
      </c>
      <c r="P28" s="81">
        <f t="shared" ref="P28" si="25">11.833-I28-M28-J28</f>
        <v>2.8330000000000002</v>
      </c>
      <c r="Q28" s="100">
        <f>+IF(D28=0.667,E28*F28*G28*H28*P28,0)</f>
        <v>13.236602230285003</v>
      </c>
      <c r="R28" s="100">
        <f>+IF(D28=0.333,E28*F28*G28*P28,0)</f>
        <v>0</v>
      </c>
      <c r="S28" s="101">
        <f t="shared" ref="S28:T31" si="26">+Q28+N28+K28</f>
        <v>45.942643745285011</v>
      </c>
      <c r="T28" s="101">
        <f t="shared" si="26"/>
        <v>0</v>
      </c>
      <c r="U28" s="92"/>
      <c r="V28" s="91"/>
      <c r="W28" s="102"/>
      <c r="X28" s="98"/>
      <c r="Y28" s="102"/>
      <c r="Z28" s="98"/>
      <c r="AA28" s="98"/>
      <c r="AB28" s="98"/>
      <c r="AC28" s="91"/>
      <c r="AD28" s="98"/>
      <c r="AE28" s="98"/>
      <c r="AF28" s="98"/>
      <c r="AG28" s="91"/>
      <c r="AH28" s="692">
        <v>1</v>
      </c>
      <c r="AI28" s="299">
        <f>+AH28*G28*D28*0.17</f>
        <v>0.79428957965000013</v>
      </c>
      <c r="AK28" s="301">
        <f t="shared" si="0"/>
        <v>7.0049349999999997</v>
      </c>
      <c r="AL28" s="301">
        <f t="shared" si="1"/>
        <v>0</v>
      </c>
      <c r="AM28" s="301"/>
      <c r="AN28" s="301">
        <f>+IF(D28=0.333,1.33,0)</f>
        <v>0</v>
      </c>
      <c r="AO28" s="299"/>
      <c r="AP28" s="301">
        <f>+S28</f>
        <v>45.942643745285011</v>
      </c>
      <c r="AQ28" s="301"/>
    </row>
    <row r="29" spans="2:43" ht="20.100000000000001" customHeight="1" x14ac:dyDescent="0.3">
      <c r="B29" s="18"/>
      <c r="C29" s="62" t="s">
        <v>130</v>
      </c>
      <c r="D29" s="98">
        <v>0.66700000000000004</v>
      </c>
      <c r="E29" s="18">
        <v>-1</v>
      </c>
      <c r="F29" s="18">
        <v>1</v>
      </c>
      <c r="G29" s="675">
        <v>3</v>
      </c>
      <c r="H29" s="20">
        <f t="shared" ref="H29" si="27">+D29</f>
        <v>0.66700000000000004</v>
      </c>
      <c r="I29" s="21"/>
      <c r="J29" s="22">
        <v>3</v>
      </c>
      <c r="K29" s="103">
        <f t="shared" ref="K29" si="28">+IF(D29=0.667,E29*F29*G29*H29*J29,0)</f>
        <v>-6.003000000000001</v>
      </c>
      <c r="L29" s="103">
        <f t="shared" ref="L29" si="29">+IF(D29=0.333,E29*F29*G29*J29,0)</f>
        <v>0</v>
      </c>
      <c r="M29" s="81">
        <v>4</v>
      </c>
      <c r="N29" s="103">
        <f t="shared" ref="N29" si="30">+IF(D29=0.667,E29*F29*G29*H29*M29,0)</f>
        <v>-8.0040000000000013</v>
      </c>
      <c r="O29" s="103">
        <f t="shared" ref="O29" si="31">+IF(D29=0.333,E29*F29*G29*M29,0)</f>
        <v>0</v>
      </c>
      <c r="P29" s="81"/>
      <c r="Q29" s="103">
        <f t="shared" ref="Q29" si="32">+IF(D29=0.667,E29*F29*G29*H29*P29,0)</f>
        <v>0</v>
      </c>
      <c r="R29" s="103">
        <f t="shared" ref="R29" si="33">+IF(D29=0.333,E29*F29*G29*P29,0)</f>
        <v>0</v>
      </c>
      <c r="S29" s="104">
        <f t="shared" si="26"/>
        <v>-14.007000000000001</v>
      </c>
      <c r="T29" s="104">
        <f t="shared" si="26"/>
        <v>0</v>
      </c>
      <c r="U29" s="18"/>
      <c r="V29" s="26"/>
      <c r="W29" s="225">
        <f>+G29+D29</f>
        <v>3.6669999999999998</v>
      </c>
      <c r="X29" s="225">
        <v>0.5</v>
      </c>
      <c r="Y29" s="225">
        <f>+IF(D29=0.667,-E29*F29*H29*W29*X29,0)</f>
        <v>1.2229445000000001</v>
      </c>
      <c r="Z29" s="225">
        <f>+IF(D29=0.333,-E29*F29*H29*W29*X29,0)</f>
        <v>0</v>
      </c>
      <c r="AA29" s="225">
        <f>+F29*G29*H29</f>
        <v>2.0010000000000003</v>
      </c>
      <c r="AB29" s="225">
        <f t="shared" ref="AB29" si="34">2*F29*W29*X29</f>
        <v>3.6669999999999998</v>
      </c>
      <c r="AC29" s="27"/>
      <c r="AD29" s="21"/>
      <c r="AE29" s="21"/>
      <c r="AF29" s="21"/>
      <c r="AG29" s="27"/>
      <c r="AH29" s="306"/>
      <c r="AI29" s="299"/>
      <c r="AK29" s="301">
        <f t="shared" ref="AK29" si="35">+IF(D29=0.667,E29*F29*G29,0)</f>
        <v>-3</v>
      </c>
      <c r="AL29" s="301">
        <f t="shared" ref="AL29" si="36">+IF(D29=0.333,E29*F29*G29,0)</f>
        <v>0</v>
      </c>
      <c r="AM29" s="301"/>
      <c r="AN29" s="301"/>
      <c r="AO29" s="299"/>
      <c r="AP29" s="301">
        <f t="shared" ref="AP29" si="37">+S29</f>
        <v>-14.007000000000001</v>
      </c>
      <c r="AQ29" s="301"/>
    </row>
    <row r="30" spans="2:43" ht="20.100000000000001" customHeight="1" x14ac:dyDescent="0.3">
      <c r="B30" s="92"/>
      <c r="C30" s="95" t="s">
        <v>31</v>
      </c>
      <c r="D30" s="98">
        <v>0.66700000000000004</v>
      </c>
      <c r="E30" s="92">
        <v>1</v>
      </c>
      <c r="F30" s="92">
        <v>1</v>
      </c>
      <c r="G30" s="675">
        <f>(3.899)*3.281</f>
        <v>12.792619</v>
      </c>
      <c r="H30" s="98">
        <f>+D30</f>
        <v>0.66700000000000004</v>
      </c>
      <c r="I30" s="94">
        <v>2</v>
      </c>
      <c r="J30" s="99">
        <v>3</v>
      </c>
      <c r="K30" s="100">
        <f>+IF(D30=0.667,E30*F30*G30*H30*J30,0)</f>
        <v>25.598030618999999</v>
      </c>
      <c r="L30" s="100">
        <f>+IF(D30=0.333,E30*F30*G30*J30,0)</f>
        <v>0</v>
      </c>
      <c r="M30" s="99">
        <v>4</v>
      </c>
      <c r="N30" s="100">
        <f>+IF(D30=0.667,E30*F30*G30*H30*M30,0)</f>
        <v>34.130707491999999</v>
      </c>
      <c r="O30" s="100">
        <f>+IF(D30=0.333,E30*F30*G30*M30,0)</f>
        <v>0</v>
      </c>
      <c r="P30" s="81">
        <f t="shared" ref="P30:P31" si="38">11.833-I30-M30-J30</f>
        <v>2.8330000000000002</v>
      </c>
      <c r="Q30" s="100">
        <f>+IF(D30=0.667,E30*F30*G30*H30*P30,0)</f>
        <v>24.173073581209</v>
      </c>
      <c r="R30" s="100">
        <f>+IF(D30=0.333,E30*F30*G30*P30,0)</f>
        <v>0</v>
      </c>
      <c r="S30" s="101">
        <f t="shared" si="26"/>
        <v>83.901811692208994</v>
      </c>
      <c r="T30" s="101">
        <f t="shared" si="26"/>
        <v>0</v>
      </c>
      <c r="U30" s="92"/>
      <c r="V30" s="91"/>
      <c r="W30" s="102"/>
      <c r="X30" s="98"/>
      <c r="Y30" s="102"/>
      <c r="Z30" s="98"/>
      <c r="AA30" s="98"/>
      <c r="AB30" s="98"/>
      <c r="AC30" s="91"/>
      <c r="AD30" s="98"/>
      <c r="AE30" s="98"/>
      <c r="AF30" s="98"/>
      <c r="AG30" s="91"/>
      <c r="AH30" s="460">
        <v>1</v>
      </c>
      <c r="AI30" s="299">
        <f>+AH30*G30*D30*0.17</f>
        <v>1.4505550684100001</v>
      </c>
      <c r="AK30" s="301">
        <f t="shared" si="0"/>
        <v>12.792619</v>
      </c>
      <c r="AL30" s="301">
        <f t="shared" si="1"/>
        <v>0</v>
      </c>
      <c r="AM30" s="301"/>
      <c r="AN30" s="301"/>
      <c r="AO30" s="299"/>
      <c r="AP30" s="301">
        <f t="shared" ref="AP30:AP31" si="39">+S30</f>
        <v>83.901811692208994</v>
      </c>
      <c r="AQ30" s="301"/>
    </row>
    <row r="31" spans="2:43" ht="20.100000000000001" customHeight="1" x14ac:dyDescent="0.3">
      <c r="B31" s="92"/>
      <c r="C31" s="95" t="s">
        <v>32</v>
      </c>
      <c r="D31" s="98">
        <v>0.66700000000000004</v>
      </c>
      <c r="E31" s="92">
        <v>1</v>
      </c>
      <c r="F31" s="92">
        <v>1</v>
      </c>
      <c r="G31" s="675">
        <f>(2.135)*3.281</f>
        <v>7.0049349999999997</v>
      </c>
      <c r="H31" s="98">
        <f>+D31</f>
        <v>0.66700000000000004</v>
      </c>
      <c r="I31" s="94">
        <v>2</v>
      </c>
      <c r="J31" s="99">
        <v>3</v>
      </c>
      <c r="K31" s="100">
        <f>+IF(D31=0.667,E31*F31*G31*H31*J31,0)</f>
        <v>14.016874935000001</v>
      </c>
      <c r="L31" s="100">
        <f>+IF(D31=0.333,E31*F31*G31*J31,0)</f>
        <v>0</v>
      </c>
      <c r="M31" s="99">
        <v>4</v>
      </c>
      <c r="N31" s="100">
        <f>+IF(D31=0.667,E31*F31*G31*H31*M31,0)</f>
        <v>18.689166580000002</v>
      </c>
      <c r="O31" s="100">
        <f>+IF(D31=0.333,E31*F31*G31*M31,0)</f>
        <v>0</v>
      </c>
      <c r="P31" s="81">
        <f t="shared" si="38"/>
        <v>2.8330000000000002</v>
      </c>
      <c r="Q31" s="100">
        <f>+IF(D31=0.667,E31*F31*G31*H31*P31,0)</f>
        <v>13.236602230285003</v>
      </c>
      <c r="R31" s="100">
        <f>+IF(D31=0.333,E31*F31*G31*P31,0)</f>
        <v>0</v>
      </c>
      <c r="S31" s="101">
        <f t="shared" si="26"/>
        <v>45.942643745285011</v>
      </c>
      <c r="T31" s="101">
        <f t="shared" si="26"/>
        <v>0</v>
      </c>
      <c r="U31" s="92"/>
      <c r="V31" s="91"/>
      <c r="W31" s="102"/>
      <c r="X31" s="98"/>
      <c r="Y31" s="102"/>
      <c r="Z31" s="98"/>
      <c r="AA31" s="98"/>
      <c r="AB31" s="98"/>
      <c r="AC31" s="91"/>
      <c r="AD31" s="98"/>
      <c r="AE31" s="98"/>
      <c r="AF31" s="98"/>
      <c r="AG31" s="91"/>
      <c r="AH31" s="460">
        <v>1</v>
      </c>
      <c r="AI31" s="299">
        <f>+AH31*G31*D31*0.17</f>
        <v>0.79428957965000013</v>
      </c>
      <c r="AK31" s="301">
        <f t="shared" si="0"/>
        <v>7.0049349999999997</v>
      </c>
      <c r="AL31" s="301">
        <f t="shared" si="1"/>
        <v>0</v>
      </c>
      <c r="AM31" s="301"/>
      <c r="AN31" s="301"/>
      <c r="AO31" s="299"/>
      <c r="AP31" s="301">
        <f t="shared" si="39"/>
        <v>45.942643745285011</v>
      </c>
      <c r="AQ31" s="301"/>
    </row>
    <row r="32" spans="2:43" ht="20.100000000000001" customHeight="1" x14ac:dyDescent="0.3">
      <c r="B32" s="92"/>
      <c r="C32" s="393"/>
      <c r="D32" s="98"/>
      <c r="E32" s="92"/>
      <c r="F32" s="92"/>
      <c r="G32" s="98"/>
      <c r="H32" s="98"/>
      <c r="I32" s="94"/>
      <c r="J32" s="98"/>
      <c r="K32" s="98"/>
      <c r="L32" s="98"/>
      <c r="M32" s="98"/>
      <c r="N32" s="98"/>
      <c r="O32" s="98"/>
      <c r="P32" s="98"/>
      <c r="Q32" s="98"/>
      <c r="R32" s="98"/>
      <c r="S32" s="98"/>
      <c r="T32" s="98"/>
      <c r="U32" s="92"/>
      <c r="V32" s="95"/>
      <c r="W32" s="94"/>
      <c r="X32" s="98"/>
      <c r="Y32" s="94"/>
      <c r="Z32" s="98"/>
      <c r="AA32" s="98"/>
      <c r="AB32" s="98"/>
      <c r="AC32" s="95"/>
      <c r="AD32" s="98"/>
      <c r="AE32" s="98"/>
      <c r="AF32" s="98"/>
      <c r="AG32" s="95"/>
      <c r="AH32" s="692"/>
      <c r="AI32" s="394"/>
      <c r="AK32" s="306"/>
      <c r="AL32" s="306"/>
      <c r="AM32" s="306"/>
      <c r="AN32" s="306"/>
      <c r="AO32" s="394"/>
      <c r="AP32" s="306"/>
      <c r="AQ32" s="306"/>
    </row>
    <row r="33" spans="2:43" ht="33" customHeight="1" x14ac:dyDescent="0.3">
      <c r="B33" s="92">
        <v>2</v>
      </c>
      <c r="C33" s="93" t="s">
        <v>555</v>
      </c>
      <c r="D33" s="92"/>
      <c r="E33" s="92"/>
      <c r="F33" s="92"/>
      <c r="G33" s="92"/>
      <c r="H33" s="92"/>
      <c r="I33" s="94"/>
      <c r="J33" s="92"/>
      <c r="K33" s="92"/>
      <c r="L33" s="92"/>
      <c r="M33" s="92"/>
      <c r="N33" s="92"/>
      <c r="O33" s="92"/>
      <c r="P33" s="92"/>
      <c r="Q33" s="92"/>
      <c r="R33" s="92"/>
      <c r="S33" s="92"/>
      <c r="T33" s="92"/>
      <c r="U33" s="92"/>
      <c r="V33" s="95"/>
      <c r="W33" s="92"/>
      <c r="X33" s="92"/>
      <c r="Y33" s="92"/>
      <c r="Z33" s="92"/>
      <c r="AA33" s="92"/>
      <c r="AB33" s="92"/>
      <c r="AC33" s="95"/>
      <c r="AD33" s="92"/>
      <c r="AE33" s="92"/>
      <c r="AF33" s="92"/>
      <c r="AG33" s="95"/>
      <c r="AH33" s="460"/>
      <c r="AI33" s="301"/>
      <c r="AK33" s="301"/>
      <c r="AL33" s="301"/>
      <c r="AM33" s="301"/>
      <c r="AN33" s="301"/>
      <c r="AO33" s="299"/>
      <c r="AP33" s="301"/>
      <c r="AQ33" s="301"/>
    </row>
    <row r="34" spans="2:43" ht="20.100000000000001" customHeight="1" x14ac:dyDescent="0.3">
      <c r="B34" s="18"/>
      <c r="C34" s="62" t="s">
        <v>33</v>
      </c>
      <c r="D34" s="298">
        <v>0.33300000000000002</v>
      </c>
      <c r="E34" s="18">
        <v>1</v>
      </c>
      <c r="F34" s="18">
        <v>1</v>
      </c>
      <c r="G34" s="675">
        <f>+(3.739*3.281)</f>
        <v>12.267659</v>
      </c>
      <c r="H34" s="20">
        <f t="shared" ref="H34" si="40">+D34</f>
        <v>0.33300000000000002</v>
      </c>
      <c r="I34" s="21">
        <v>2</v>
      </c>
      <c r="J34" s="81">
        <v>3</v>
      </c>
      <c r="K34" s="103">
        <f t="shared" ref="K34" si="41">+IF(D34=0.667,E34*F34*G34*H34*J34,0)</f>
        <v>0</v>
      </c>
      <c r="L34" s="103">
        <f t="shared" ref="L34" si="42">+IF(D34=0.333,E34*F34*G34*J34,0)</f>
        <v>36.802976999999998</v>
      </c>
      <c r="M34" s="81">
        <v>4</v>
      </c>
      <c r="N34" s="103">
        <f t="shared" ref="N34" si="43">+IF(D34=0.667,E34*F34*G34*H34*M34,0)</f>
        <v>0</v>
      </c>
      <c r="O34" s="103">
        <f t="shared" ref="O34" si="44">+IF(D34=0.333,E34*F34*G34*M34,0)</f>
        <v>49.070636</v>
      </c>
      <c r="P34" s="81">
        <f t="shared" ref="P34:P38" si="45">11.833-I34-M34-J34</f>
        <v>2.8330000000000002</v>
      </c>
      <c r="Q34" s="103">
        <f t="shared" ref="Q34" si="46">+IF(D34=0.667,E34*F34*G34*H34*P34,0)</f>
        <v>0</v>
      </c>
      <c r="R34" s="103">
        <f t="shared" ref="R34" si="47">+IF(D34=0.333,E34*F34*G34*P34,0)</f>
        <v>34.754277947000006</v>
      </c>
      <c r="S34" s="104">
        <f t="shared" ref="S34:T36" si="48">+Q34+N34+K34</f>
        <v>0</v>
      </c>
      <c r="T34" s="104">
        <f t="shared" si="48"/>
        <v>120.627890947</v>
      </c>
      <c r="U34" s="18"/>
      <c r="V34" s="26"/>
      <c r="W34" s="21"/>
      <c r="X34" s="21"/>
      <c r="Y34" s="21"/>
      <c r="Z34" s="21"/>
      <c r="AA34" s="21"/>
      <c r="AB34" s="21">
        <f t="shared" ref="AB34" si="49">2*F34*W34*X34</f>
        <v>0</v>
      </c>
      <c r="AC34" s="27"/>
      <c r="AD34" s="21"/>
      <c r="AE34" s="21">
        <f t="shared" ref="AE34" si="50">+IF(D34=0.667,AD34*W34*H34*F34,0)</f>
        <v>0</v>
      </c>
      <c r="AF34" s="21">
        <f t="shared" ref="AF34" si="51">+IF(D34=0.333,AD34*W34*H34*F34,0)</f>
        <v>0</v>
      </c>
      <c r="AG34" s="27"/>
      <c r="AH34" s="396">
        <v>1</v>
      </c>
      <c r="AI34" s="21">
        <f t="shared" ref="AI34" si="52">+AH34*G34*D34*0.17</f>
        <v>0.69447217599000011</v>
      </c>
      <c r="AK34" s="301">
        <f t="shared" ref="AK34:AK36" si="53">+IF(D34=0.667,E34*F34*G34,0)</f>
        <v>0</v>
      </c>
      <c r="AL34" s="301">
        <f t="shared" ref="AL34:AL36" si="54">+IF(D34=0.333,E34*F34*G34,0)</f>
        <v>12.267659</v>
      </c>
      <c r="AM34" s="301"/>
      <c r="AN34" s="301"/>
      <c r="AO34" s="299"/>
      <c r="AP34" s="301"/>
      <c r="AQ34" s="301"/>
    </row>
    <row r="35" spans="2:43" ht="20.100000000000001" customHeight="1" x14ac:dyDescent="0.3">
      <c r="B35" s="92"/>
      <c r="C35" s="62" t="s">
        <v>33</v>
      </c>
      <c r="D35" s="98">
        <v>0.66700000000000004</v>
      </c>
      <c r="E35" s="92">
        <v>1</v>
      </c>
      <c r="F35" s="92">
        <v>1</v>
      </c>
      <c r="G35" s="675">
        <f>(0.477)*3.281</f>
        <v>1.565037</v>
      </c>
      <c r="H35" s="98">
        <f>+D35</f>
        <v>0.66700000000000004</v>
      </c>
      <c r="I35" s="94">
        <v>2</v>
      </c>
      <c r="J35" s="99">
        <v>3</v>
      </c>
      <c r="K35" s="100">
        <f>+IF(D35=0.667,E35*F35*G35*H35*J35,0)</f>
        <v>3.1316390370000002</v>
      </c>
      <c r="L35" s="100">
        <f>+IF(D35=0.333,E35*F35*G35*J35,0)</f>
        <v>0</v>
      </c>
      <c r="M35" s="99">
        <v>4</v>
      </c>
      <c r="N35" s="100">
        <f>+IF(D35=0.667,E35*F35*G35*H35*M35,0)</f>
        <v>4.175518716</v>
      </c>
      <c r="O35" s="100">
        <f>+IF(D35=0.333,E35*F35*G35*M35,0)</f>
        <v>0</v>
      </c>
      <c r="P35" s="81">
        <f t="shared" si="45"/>
        <v>2.8330000000000002</v>
      </c>
      <c r="Q35" s="100">
        <f>+IF(D35=0.667,E35*F35*G35*H35*P35,0)</f>
        <v>2.9573111306070001</v>
      </c>
      <c r="R35" s="100">
        <f>+IF(D35=0.333,E35*F35*G35*P35,0)</f>
        <v>0</v>
      </c>
      <c r="S35" s="101">
        <f t="shared" si="48"/>
        <v>10.264468883607002</v>
      </c>
      <c r="T35" s="101">
        <f t="shared" si="48"/>
        <v>0</v>
      </c>
      <c r="U35" s="92"/>
      <c r="V35" s="91"/>
      <c r="W35" s="102"/>
      <c r="X35" s="98"/>
      <c r="Y35" s="102"/>
      <c r="Z35" s="98"/>
      <c r="AA35" s="98"/>
      <c r="AB35" s="98"/>
      <c r="AC35" s="91"/>
      <c r="AD35" s="98"/>
      <c r="AE35" s="98"/>
      <c r="AF35" s="98"/>
      <c r="AG35" s="91"/>
      <c r="AH35" s="460">
        <v>1</v>
      </c>
      <c r="AI35" s="299">
        <f>+AH35*G35*D35*0.17</f>
        <v>0.17745954543</v>
      </c>
      <c r="AK35" s="301">
        <f t="shared" si="53"/>
        <v>1.565037</v>
      </c>
      <c r="AL35" s="301">
        <f t="shared" si="54"/>
        <v>0</v>
      </c>
      <c r="AM35" s="301"/>
      <c r="AN35" s="301"/>
      <c r="AO35" s="299"/>
      <c r="AP35" s="301"/>
      <c r="AQ35" s="301"/>
    </row>
    <row r="36" spans="2:43" ht="20.100000000000001" customHeight="1" x14ac:dyDescent="0.3">
      <c r="B36" s="92"/>
      <c r="C36" s="95" t="s">
        <v>31</v>
      </c>
      <c r="D36" s="98">
        <v>0.66700000000000004</v>
      </c>
      <c r="E36" s="92">
        <v>1</v>
      </c>
      <c r="F36" s="92">
        <v>1</v>
      </c>
      <c r="G36" s="675">
        <f>(2.55)*3.281</f>
        <v>8.3665500000000002</v>
      </c>
      <c r="H36" s="98">
        <f>+D36</f>
        <v>0.66700000000000004</v>
      </c>
      <c r="I36" s="94">
        <v>2</v>
      </c>
      <c r="J36" s="99">
        <v>3</v>
      </c>
      <c r="K36" s="100">
        <f>+IF(D36=0.667,E36*F36*G36*H36*J36,0)</f>
        <v>16.741466549999998</v>
      </c>
      <c r="L36" s="100">
        <f>+IF(D36=0.333,E36*F36*G36*J36,0)</f>
        <v>0</v>
      </c>
      <c r="M36" s="99">
        <v>4</v>
      </c>
      <c r="N36" s="100">
        <f>+IF(D36=0.667,E36*F36*G36*H36*M36,0)</f>
        <v>22.3219554</v>
      </c>
      <c r="O36" s="100">
        <f>+IF(D36=0.333,E36*F36*G36*M36,0)</f>
        <v>0</v>
      </c>
      <c r="P36" s="81">
        <f t="shared" si="45"/>
        <v>2.8330000000000002</v>
      </c>
      <c r="Q36" s="100">
        <f>+IF(D36=0.667,E36*F36*G36*H36*P36,0)</f>
        <v>15.809524912050001</v>
      </c>
      <c r="R36" s="100">
        <f>+IF(D36=0.333,E36*F36*G36*P36,0)</f>
        <v>0</v>
      </c>
      <c r="S36" s="101">
        <f t="shared" si="48"/>
        <v>54.87294686205</v>
      </c>
      <c r="T36" s="101">
        <f t="shared" si="48"/>
        <v>0</v>
      </c>
      <c r="U36" s="92"/>
      <c r="V36" s="91"/>
      <c r="W36" s="102"/>
      <c r="X36" s="98"/>
      <c r="Y36" s="102"/>
      <c r="Z36" s="98"/>
      <c r="AA36" s="98"/>
      <c r="AB36" s="98"/>
      <c r="AC36" s="91"/>
      <c r="AD36" s="98"/>
      <c r="AE36" s="98"/>
      <c r="AF36" s="98"/>
      <c r="AG36" s="91"/>
      <c r="AH36" s="460">
        <v>1</v>
      </c>
      <c r="AI36" s="299">
        <f>+AH36*G36*D36*0.17</f>
        <v>0.94868310450000004</v>
      </c>
      <c r="AK36" s="301">
        <f t="shared" si="53"/>
        <v>8.3665500000000002</v>
      </c>
      <c r="AL36" s="301">
        <f t="shared" si="54"/>
        <v>0</v>
      </c>
      <c r="AM36" s="301"/>
      <c r="AN36" s="301"/>
      <c r="AO36" s="299"/>
      <c r="AP36" s="301"/>
      <c r="AQ36" s="301"/>
    </row>
    <row r="37" spans="2:43" ht="20.100000000000001" customHeight="1" x14ac:dyDescent="0.3">
      <c r="B37" s="18"/>
      <c r="C37" s="62" t="s">
        <v>32</v>
      </c>
      <c r="D37" s="298">
        <v>0.33300000000000002</v>
      </c>
      <c r="E37" s="18">
        <v>1</v>
      </c>
      <c r="F37" s="18">
        <v>1</v>
      </c>
      <c r="G37" s="675">
        <f>+(4.839*3.281)</f>
        <v>15.876759000000002</v>
      </c>
      <c r="H37" s="20">
        <f t="shared" ref="H37" si="55">+D37</f>
        <v>0.33300000000000002</v>
      </c>
      <c r="I37" s="21">
        <v>2</v>
      </c>
      <c r="J37" s="81">
        <v>3</v>
      </c>
      <c r="K37" s="103">
        <f t="shared" ref="K37" si="56">+IF(D37=0.667,E37*F37*G37*H37*J37,0)</f>
        <v>0</v>
      </c>
      <c r="L37" s="103">
        <f>+IF(D37=0.333,E37*F37*G37*J37,0)</f>
        <v>47.630277000000007</v>
      </c>
      <c r="M37" s="81">
        <v>4</v>
      </c>
      <c r="N37" s="103">
        <f t="shared" ref="N37" si="57">+IF(D37=0.667,E37*F37*G37*H37*M37,0)</f>
        <v>0</v>
      </c>
      <c r="O37" s="103">
        <f t="shared" ref="O37" si="58">+IF(D37=0.333,E37*F37*G37*M37,0)</f>
        <v>63.507036000000006</v>
      </c>
      <c r="P37" s="81">
        <f t="shared" si="45"/>
        <v>2.8330000000000002</v>
      </c>
      <c r="Q37" s="103">
        <f t="shared" ref="Q37" si="59">+IF(D37=0.667,E37*F37*G37*H37*P37,0)</f>
        <v>0</v>
      </c>
      <c r="R37" s="103">
        <f t="shared" ref="R37" si="60">+IF(D37=0.333,E37*F37*G37*P37,0)</f>
        <v>44.978858247000005</v>
      </c>
      <c r="S37" s="104">
        <f t="shared" ref="S37" si="61">+Q37+N37+K37</f>
        <v>0</v>
      </c>
      <c r="T37" s="104">
        <f t="shared" ref="T37" si="62">+R37+O37+L37</f>
        <v>156.11617124700001</v>
      </c>
      <c r="U37" s="18"/>
      <c r="V37" s="26"/>
      <c r="W37" s="21"/>
      <c r="X37" s="21"/>
      <c r="Y37" s="21"/>
      <c r="Z37" s="21"/>
      <c r="AA37" s="21"/>
      <c r="AB37" s="21">
        <f t="shared" ref="AB37" si="63">2*F37*W37*X37</f>
        <v>0</v>
      </c>
      <c r="AC37" s="27"/>
      <c r="AD37" s="21"/>
      <c r="AE37" s="21">
        <f t="shared" ref="AE37" si="64">+IF(D37=0.667,AD37*W37*H37*F37,0)</f>
        <v>0</v>
      </c>
      <c r="AF37" s="21">
        <f t="shared" ref="AF37" si="65">+IF(D37=0.333,AD37*W37*H37*F37,0)</f>
        <v>0</v>
      </c>
      <c r="AG37" s="27"/>
      <c r="AH37" s="396">
        <v>1</v>
      </c>
      <c r="AI37" s="21">
        <f t="shared" ref="AI37" si="66">+AH37*G37*D37*0.17</f>
        <v>0.8987833269900003</v>
      </c>
      <c r="AK37" s="301">
        <f t="shared" ref="AK37" si="67">+IF(D37=0.667,E37*F37*G37,0)</f>
        <v>0</v>
      </c>
      <c r="AL37" s="301">
        <f t="shared" ref="AL37" si="68">+IF(D37=0.333,E37*F37*G37,0)</f>
        <v>15.876759000000002</v>
      </c>
      <c r="AM37" s="301"/>
      <c r="AN37" s="301"/>
      <c r="AO37" s="299"/>
      <c r="AP37" s="301"/>
      <c r="AQ37" s="301"/>
    </row>
    <row r="38" spans="2:43" ht="20.100000000000001" customHeight="1" x14ac:dyDescent="0.3">
      <c r="B38" s="18"/>
      <c r="C38" s="62" t="s">
        <v>38</v>
      </c>
      <c r="D38" s="298">
        <v>0.33300000000000002</v>
      </c>
      <c r="E38" s="18">
        <v>1</v>
      </c>
      <c r="F38" s="18">
        <v>1</v>
      </c>
      <c r="G38" s="675">
        <f>+(2.678*3.281)</f>
        <v>8.7865180000000009</v>
      </c>
      <c r="H38" s="20">
        <f t="shared" ref="H38:H39" si="69">+D38</f>
        <v>0.33300000000000002</v>
      </c>
      <c r="I38" s="21">
        <v>2</v>
      </c>
      <c r="J38" s="81">
        <v>3</v>
      </c>
      <c r="K38" s="103">
        <f t="shared" ref="K38:K39" si="70">+IF(D38=0.667,E38*F38*G38*H38*J38,0)</f>
        <v>0</v>
      </c>
      <c r="L38" s="103">
        <f t="shared" ref="L38:L39" si="71">+IF(D38=0.333,E38*F38*G38*J38,0)</f>
        <v>26.359554000000003</v>
      </c>
      <c r="M38" s="81">
        <v>4</v>
      </c>
      <c r="N38" s="103">
        <f t="shared" ref="N38:N39" si="72">+IF(D38=0.667,E38*F38*G38*H38*M38,0)</f>
        <v>0</v>
      </c>
      <c r="O38" s="103">
        <f t="shared" ref="O38:O39" si="73">+IF(D38=0.333,E38*F38*G38*M38,0)</f>
        <v>35.146072000000004</v>
      </c>
      <c r="P38" s="81">
        <f t="shared" si="45"/>
        <v>2.8330000000000002</v>
      </c>
      <c r="Q38" s="103">
        <f t="shared" ref="Q38:Q39" si="74">+IF(D38=0.667,E38*F38*G38*H38*P38,0)</f>
        <v>0</v>
      </c>
      <c r="R38" s="103">
        <f t="shared" ref="R38:R39" si="75">+IF(D38=0.333,E38*F38*G38*P38,0)</f>
        <v>24.892205494000006</v>
      </c>
      <c r="S38" s="104">
        <f t="shared" ref="S38:S39" si="76">+Q38+N38+K38</f>
        <v>0</v>
      </c>
      <c r="T38" s="104">
        <f t="shared" ref="T38:T39" si="77">+R38+O38+L38</f>
        <v>86.397831494000016</v>
      </c>
      <c r="U38" s="18"/>
      <c r="V38" s="26"/>
      <c r="W38" s="21"/>
      <c r="X38" s="21"/>
      <c r="Y38" s="21"/>
      <c r="Z38" s="21"/>
      <c r="AA38" s="21"/>
      <c r="AB38" s="21">
        <f t="shared" ref="AB38:AB39" si="78">2*F38*W38*X38</f>
        <v>0</v>
      </c>
      <c r="AC38" s="27"/>
      <c r="AD38" s="21"/>
      <c r="AE38" s="21">
        <f t="shared" ref="AE38:AE39" si="79">+IF(D38=0.667,AD38*W38*H38*F38,0)</f>
        <v>0</v>
      </c>
      <c r="AF38" s="21">
        <f t="shared" ref="AF38:AF39" si="80">+IF(D38=0.333,AD38*W38*H38*F38,0)</f>
        <v>0</v>
      </c>
      <c r="AG38" s="27"/>
      <c r="AH38" s="396">
        <v>1</v>
      </c>
      <c r="AI38" s="21">
        <f t="shared" ref="AI38:AI39" si="81">+AH38*G38*D38*0.17</f>
        <v>0.4974047839800001</v>
      </c>
      <c r="AK38" s="301">
        <f t="shared" ref="AK38:AK39" si="82">+IF(D38=0.667,E38*F38*G38,0)</f>
        <v>0</v>
      </c>
      <c r="AL38" s="301">
        <f t="shared" ref="AL38:AL39" si="83">+IF(D38=0.333,E38*F38*G38,0)</f>
        <v>8.7865180000000009</v>
      </c>
      <c r="AM38" s="301"/>
      <c r="AN38" s="301"/>
      <c r="AO38" s="299"/>
      <c r="AP38" s="301"/>
      <c r="AQ38" s="301"/>
    </row>
    <row r="39" spans="2:43" ht="20.100000000000001" customHeight="1" x14ac:dyDescent="0.3">
      <c r="B39" s="18"/>
      <c r="C39" s="62" t="s">
        <v>35</v>
      </c>
      <c r="D39" s="298">
        <v>0.33300000000000002</v>
      </c>
      <c r="E39" s="18">
        <v>-1</v>
      </c>
      <c r="F39" s="702">
        <v>1</v>
      </c>
      <c r="G39" s="675">
        <v>3.25</v>
      </c>
      <c r="H39" s="20">
        <f t="shared" si="69"/>
        <v>0.33300000000000002</v>
      </c>
      <c r="I39" s="21"/>
      <c r="J39" s="81">
        <v>3</v>
      </c>
      <c r="K39" s="103">
        <f t="shared" si="70"/>
        <v>0</v>
      </c>
      <c r="L39" s="103">
        <f t="shared" si="71"/>
        <v>-9.75</v>
      </c>
      <c r="M39" s="81">
        <v>4</v>
      </c>
      <c r="N39" s="103">
        <f t="shared" si="72"/>
        <v>0</v>
      </c>
      <c r="O39" s="103">
        <f t="shared" si="73"/>
        <v>-13</v>
      </c>
      <c r="P39" s="81"/>
      <c r="Q39" s="103">
        <f t="shared" si="74"/>
        <v>0</v>
      </c>
      <c r="R39" s="103">
        <f t="shared" si="75"/>
        <v>0</v>
      </c>
      <c r="S39" s="104">
        <f t="shared" si="76"/>
        <v>0</v>
      </c>
      <c r="T39" s="104">
        <f t="shared" si="77"/>
        <v>-22.75</v>
      </c>
      <c r="U39" s="18"/>
      <c r="V39" s="26"/>
      <c r="W39" s="225">
        <f>+G39+D39</f>
        <v>3.5830000000000002</v>
      </c>
      <c r="X39" s="225">
        <v>0.5</v>
      </c>
      <c r="Y39" s="225">
        <f>+IF(D39=0.667,-E39*F39*H39*W39*X39,0)</f>
        <v>0</v>
      </c>
      <c r="Z39" s="225">
        <f>+IF(D39=0.333,-E39*F39*H39*W39*X39,0)</f>
        <v>0.59656950000000009</v>
      </c>
      <c r="AA39" s="225">
        <f>+F39*G39*H39</f>
        <v>1.0822500000000002</v>
      </c>
      <c r="AB39" s="225">
        <f t="shared" si="78"/>
        <v>3.5830000000000002</v>
      </c>
      <c r="AC39" s="27"/>
      <c r="AD39" s="21"/>
      <c r="AE39" s="21">
        <f t="shared" si="79"/>
        <v>0</v>
      </c>
      <c r="AF39" s="21">
        <f t="shared" si="80"/>
        <v>0</v>
      </c>
      <c r="AG39" s="27"/>
      <c r="AH39" s="396"/>
      <c r="AI39" s="21">
        <f t="shared" si="81"/>
        <v>0</v>
      </c>
      <c r="AK39" s="301">
        <f t="shared" si="82"/>
        <v>0</v>
      </c>
      <c r="AL39" s="301">
        <f t="shared" si="83"/>
        <v>-3.25</v>
      </c>
      <c r="AM39" s="301"/>
      <c r="AN39" s="301">
        <f>+IF(D39=0.333,1.33,0)</f>
        <v>1.33</v>
      </c>
      <c r="AO39" s="299"/>
      <c r="AP39" s="301"/>
      <c r="AQ39" s="301"/>
    </row>
    <row r="40" spans="2:43" ht="20.100000000000001" customHeight="1" x14ac:dyDescent="0.3">
      <c r="B40" s="369"/>
      <c r="C40" s="395"/>
      <c r="D40" s="371"/>
      <c r="E40" s="369"/>
      <c r="F40" s="369"/>
      <c r="G40" s="371"/>
      <c r="H40" s="371"/>
      <c r="I40" s="372"/>
      <c r="J40" s="371"/>
      <c r="K40" s="371"/>
      <c r="L40" s="371"/>
      <c r="M40" s="371"/>
      <c r="N40" s="371"/>
      <c r="O40" s="371"/>
      <c r="P40" s="371"/>
      <c r="Q40" s="371"/>
      <c r="R40" s="371"/>
      <c r="S40" s="371"/>
      <c r="T40" s="371"/>
      <c r="U40" s="369"/>
      <c r="V40" s="370"/>
      <c r="W40" s="372"/>
      <c r="X40" s="371"/>
      <c r="Y40" s="372"/>
      <c r="Z40" s="371"/>
      <c r="AA40" s="371"/>
      <c r="AB40" s="371"/>
      <c r="AC40" s="370"/>
      <c r="AD40" s="371"/>
      <c r="AE40" s="371"/>
      <c r="AF40" s="371"/>
      <c r="AG40" s="370"/>
      <c r="AH40" s="693"/>
      <c r="AI40" s="372"/>
      <c r="AK40" s="377"/>
      <c r="AL40" s="377"/>
      <c r="AM40" s="377"/>
      <c r="AN40" s="377"/>
      <c r="AO40" s="372"/>
      <c r="AP40" s="377"/>
      <c r="AQ40" s="377"/>
    </row>
    <row r="41" spans="2:43" ht="20.100000000000001" customHeight="1" x14ac:dyDescent="0.3">
      <c r="B41" s="92">
        <v>3</v>
      </c>
      <c r="C41" s="93" t="s">
        <v>345</v>
      </c>
      <c r="D41" s="92"/>
      <c r="E41" s="92"/>
      <c r="F41" s="92"/>
      <c r="G41" s="92"/>
      <c r="H41" s="92"/>
      <c r="I41" s="94"/>
      <c r="J41" s="92"/>
      <c r="K41" s="92"/>
      <c r="L41" s="92"/>
      <c r="M41" s="92"/>
      <c r="N41" s="92"/>
      <c r="O41" s="92"/>
      <c r="P41" s="92"/>
      <c r="Q41" s="92"/>
      <c r="R41" s="92"/>
      <c r="S41" s="92"/>
      <c r="T41" s="92"/>
      <c r="U41" s="92"/>
      <c r="V41" s="95"/>
      <c r="W41" s="92"/>
      <c r="X41" s="92"/>
      <c r="Y41" s="92"/>
      <c r="Z41" s="92"/>
      <c r="AA41" s="92"/>
      <c r="AB41" s="92"/>
      <c r="AC41" s="95"/>
      <c r="AD41" s="92"/>
      <c r="AE41" s="92"/>
      <c r="AF41" s="92"/>
      <c r="AG41" s="95"/>
      <c r="AH41" s="460"/>
      <c r="AI41" s="301"/>
      <c r="AK41" s="301"/>
      <c r="AL41" s="301"/>
      <c r="AM41" s="301"/>
      <c r="AN41" s="301"/>
      <c r="AO41" s="299"/>
      <c r="AP41" s="301"/>
      <c r="AQ41" s="301"/>
    </row>
    <row r="42" spans="2:43" ht="20.100000000000001" customHeight="1" x14ac:dyDescent="0.3">
      <c r="B42" s="92"/>
      <c r="C42" s="62" t="s">
        <v>33</v>
      </c>
      <c r="D42" s="98">
        <v>0.66700000000000004</v>
      </c>
      <c r="E42" s="415">
        <f>1*0</f>
        <v>0</v>
      </c>
      <c r="F42" s="415">
        <f>1*0</f>
        <v>0</v>
      </c>
      <c r="G42" s="371">
        <f>(2.921)*3.281</f>
        <v>9.5838009999999993</v>
      </c>
      <c r="H42" s="98">
        <f>+D42</f>
        <v>0.66700000000000004</v>
      </c>
      <c r="I42" s="94">
        <v>2</v>
      </c>
      <c r="J42" s="99">
        <v>3</v>
      </c>
      <c r="K42" s="100">
        <f>+IF(D42=0.667,E42*F42*G42*H42*J42,0)</f>
        <v>0</v>
      </c>
      <c r="L42" s="100">
        <f>+IF(D42=0.333,E42*F42*G42*J42,0)</f>
        <v>0</v>
      </c>
      <c r="M42" s="99">
        <v>4</v>
      </c>
      <c r="N42" s="100">
        <f>+IF(D42=0.667,E42*F42*G42*H42*M42,0)</f>
        <v>0</v>
      </c>
      <c r="O42" s="100">
        <f>+IF(D42=0.333,E42*F42*G42*M42,0)</f>
        <v>0</v>
      </c>
      <c r="P42" s="81">
        <f t="shared" ref="P42" si="84">11.833-I42-M42-J42</f>
        <v>2.8330000000000002</v>
      </c>
      <c r="Q42" s="100">
        <f>+IF(D42=0.667,E42*F42*G42*H42*P42,0)</f>
        <v>0</v>
      </c>
      <c r="R42" s="100">
        <f>+IF(D42=0.333,E42*F42*G42*P42,0)</f>
        <v>0</v>
      </c>
      <c r="S42" s="555">
        <f t="shared" ref="S42:S43" si="85">+Q42+N42+K42</f>
        <v>0</v>
      </c>
      <c r="T42" s="101">
        <f t="shared" ref="T42:T43" si="86">+R42+O42+L42</f>
        <v>0</v>
      </c>
      <c r="U42" s="92"/>
      <c r="V42" s="91"/>
      <c r="W42" s="102"/>
      <c r="X42" s="98"/>
      <c r="Y42" s="102"/>
      <c r="Z42" s="98"/>
      <c r="AA42" s="98"/>
      <c r="AB42" s="98"/>
      <c r="AC42" s="91"/>
      <c r="AD42" s="98"/>
      <c r="AE42" s="98"/>
      <c r="AF42" s="98"/>
      <c r="AG42" s="91"/>
      <c r="AH42" s="415">
        <f>1*0</f>
        <v>0</v>
      </c>
      <c r="AI42" s="299">
        <f>+AH42*G42*D42*0.17</f>
        <v>0</v>
      </c>
      <c r="AK42" s="301">
        <f t="shared" ref="AK42:AK43" si="87">+IF(D42=0.667,E42*F42*G42,0)</f>
        <v>0</v>
      </c>
      <c r="AL42" s="301">
        <f t="shared" ref="AL42:AL43" si="88">+IF(D42=0.333,E42*F42*G42,0)</f>
        <v>0</v>
      </c>
      <c r="AM42" s="301"/>
      <c r="AN42" s="301"/>
      <c r="AO42" s="299"/>
      <c r="AP42" s="301"/>
      <c r="AQ42" s="301"/>
    </row>
    <row r="43" spans="2:43" ht="20.100000000000001" customHeight="1" x14ac:dyDescent="0.3">
      <c r="B43" s="18"/>
      <c r="C43" s="62" t="s">
        <v>34</v>
      </c>
      <c r="D43" s="98">
        <v>0.66700000000000004</v>
      </c>
      <c r="E43" s="607">
        <f>-1*0</f>
        <v>0</v>
      </c>
      <c r="F43" s="607">
        <f>2*0</f>
        <v>0</v>
      </c>
      <c r="G43" s="20">
        <v>3.25</v>
      </c>
      <c r="H43" s="20">
        <f t="shared" ref="H43" si="89">+D43</f>
        <v>0.66700000000000004</v>
      </c>
      <c r="I43" s="21"/>
      <c r="J43" s="81">
        <v>3</v>
      </c>
      <c r="K43" s="103">
        <f t="shared" ref="K43" si="90">+IF(D43=0.667,E43*F43*G43*H43*J43,0)</f>
        <v>0</v>
      </c>
      <c r="L43" s="103">
        <f t="shared" ref="L43" si="91">+IF(D43=0.333,E43*F43*G43*J43,0)</f>
        <v>0</v>
      </c>
      <c r="M43" s="81">
        <v>4</v>
      </c>
      <c r="N43" s="103">
        <f t="shared" ref="N43" si="92">+IF(D43=0.667,E43*F43*G43*H43*M43,0)</f>
        <v>0</v>
      </c>
      <c r="O43" s="103">
        <f t="shared" ref="O43" si="93">+IF(D43=0.333,E43*F43*G43*M43,0)</f>
        <v>0</v>
      </c>
      <c r="P43" s="81"/>
      <c r="Q43" s="103">
        <f t="shared" ref="Q43" si="94">+IF(D43=0.667,E43*F43*G43*H43*P43,0)</f>
        <v>0</v>
      </c>
      <c r="R43" s="103">
        <f t="shared" ref="R43" si="95">+IF(D43=0.333,E43*F43*G43*P43,0)</f>
        <v>0</v>
      </c>
      <c r="S43" s="676">
        <f t="shared" si="85"/>
        <v>0</v>
      </c>
      <c r="T43" s="104">
        <f t="shared" si="86"/>
        <v>0</v>
      </c>
      <c r="U43" s="18"/>
      <c r="V43" s="26"/>
      <c r="W43" s="21">
        <f>+G43+D43</f>
        <v>3.9169999999999998</v>
      </c>
      <c r="X43" s="21">
        <v>0.5</v>
      </c>
      <c r="Y43" s="21">
        <f>+IF(D43=0.667,-E43*F43*H43*W43*X43,0)</f>
        <v>0</v>
      </c>
      <c r="Z43" s="21">
        <f>+IF(D43=0.333,-E43*F43*H43*W43*X43,0)</f>
        <v>0</v>
      </c>
      <c r="AA43" s="21">
        <f>+F43*G43*H43</f>
        <v>0</v>
      </c>
      <c r="AB43" s="21">
        <f t="shared" ref="AB43" si="96">2*F43*W43*X43</f>
        <v>0</v>
      </c>
      <c r="AC43" s="27"/>
      <c r="AD43" s="21"/>
      <c r="AE43" s="21">
        <f t="shared" ref="AE43" si="97">+IF(D43=0.667,AD43*W43*H43*F43,0)</f>
        <v>0</v>
      </c>
      <c r="AF43" s="21">
        <f t="shared" ref="AF43" si="98">+IF(D43=0.333,AD43*W43*H43*F43,0)</f>
        <v>0</v>
      </c>
      <c r="AG43" s="27"/>
      <c r="AH43" s="396"/>
      <c r="AI43" s="21">
        <f t="shared" ref="AI43" si="99">+AH43*G43*D43*0.17</f>
        <v>0</v>
      </c>
      <c r="AK43" s="301">
        <f t="shared" si="87"/>
        <v>0</v>
      </c>
      <c r="AL43" s="301">
        <f t="shared" si="88"/>
        <v>0</v>
      </c>
      <c r="AM43" s="301">
        <f>+IF(D43=0.667,1.33,0)*0</f>
        <v>0</v>
      </c>
      <c r="AN43" s="301">
        <f>+IF(D43=0.333,1.33,0)</f>
        <v>0</v>
      </c>
      <c r="AO43" s="299"/>
      <c r="AP43" s="301"/>
      <c r="AQ43" s="301"/>
    </row>
    <row r="44" spans="2:43" ht="20.100000000000001" customHeight="1" x14ac:dyDescent="0.3">
      <c r="B44" s="92"/>
      <c r="C44" s="62" t="s">
        <v>31</v>
      </c>
      <c r="D44" s="98">
        <v>0.66700000000000004</v>
      </c>
      <c r="E44" s="92">
        <v>1</v>
      </c>
      <c r="F44" s="92">
        <v>1</v>
      </c>
      <c r="G44" s="675">
        <f>(4.31+3.781)*3.281</f>
        <v>26.546571</v>
      </c>
      <c r="H44" s="98">
        <f>+D44</f>
        <v>0.66700000000000004</v>
      </c>
      <c r="I44" s="94">
        <v>2</v>
      </c>
      <c r="J44" s="99">
        <v>3</v>
      </c>
      <c r="K44" s="100">
        <f>+IF(D44=0.667,E44*F44*G44*H44*J44,0)</f>
        <v>53.119688571000005</v>
      </c>
      <c r="L44" s="100">
        <f>+IF(D44=0.333,E44*F44*G44*J44,0)</f>
        <v>0</v>
      </c>
      <c r="M44" s="99">
        <v>4</v>
      </c>
      <c r="N44" s="100">
        <f>+IF(D44=0.667,E44*F44*G44*H44*M44,0)</f>
        <v>70.826251428000006</v>
      </c>
      <c r="O44" s="100">
        <f>+IF(D44=0.333,E44*F44*G44*M44,0)</f>
        <v>0</v>
      </c>
      <c r="P44" s="81">
        <f t="shared" ref="P44" si="100">11.833-I44-M44-J44</f>
        <v>2.8330000000000002</v>
      </c>
      <c r="Q44" s="100">
        <f>+IF(D44=0.667,E44*F44*G44*H44*P44,0)</f>
        <v>50.16269257388101</v>
      </c>
      <c r="R44" s="100">
        <f>+IF(D44=0.333,E44*F44*G44*P44,0)</f>
        <v>0</v>
      </c>
      <c r="S44" s="101">
        <f t="shared" ref="S44:S45" si="101">+Q44+N44+K44</f>
        <v>174.10863257288102</v>
      </c>
      <c r="T44" s="101">
        <f t="shared" ref="T44:T45" si="102">+R44+O44+L44</f>
        <v>0</v>
      </c>
      <c r="U44" s="92"/>
      <c r="V44" s="91"/>
      <c r="W44" s="102"/>
      <c r="X44" s="98"/>
      <c r="Y44" s="102"/>
      <c r="Z44" s="98"/>
      <c r="AA44" s="98"/>
      <c r="AB44" s="98"/>
      <c r="AC44" s="91"/>
      <c r="AD44" s="98"/>
      <c r="AE44" s="98"/>
      <c r="AF44" s="98"/>
      <c r="AG44" s="91"/>
      <c r="AH44" s="460">
        <v>1</v>
      </c>
      <c r="AI44" s="299">
        <f>+AH44*G44*D44*0.17</f>
        <v>3.0101156856900007</v>
      </c>
      <c r="AK44" s="301">
        <f t="shared" ref="AK44" si="103">+IF(D44=0.667,E44*F44*G44,0)</f>
        <v>26.546571</v>
      </c>
      <c r="AL44" s="301">
        <f t="shared" ref="AL44" si="104">+IF(D44=0.333,E44*F44*G44,0)</f>
        <v>0</v>
      </c>
      <c r="AM44" s="301"/>
      <c r="AN44" s="301"/>
      <c r="AO44" s="299"/>
      <c r="AP44" s="301"/>
      <c r="AQ44" s="301"/>
    </row>
    <row r="45" spans="2:43" ht="20.100000000000001" customHeight="1" x14ac:dyDescent="0.3">
      <c r="B45" s="18"/>
      <c r="C45" s="62" t="s">
        <v>246</v>
      </c>
      <c r="D45" s="298">
        <v>0.66700000000000004</v>
      </c>
      <c r="E45" s="18">
        <v>-1</v>
      </c>
      <c r="F45" s="18">
        <v>1</v>
      </c>
      <c r="G45" s="675">
        <v>2</v>
      </c>
      <c r="H45" s="20">
        <f t="shared" ref="H45" si="105">+D45</f>
        <v>0.66700000000000004</v>
      </c>
      <c r="I45" s="21"/>
      <c r="J45" s="81"/>
      <c r="K45" s="103">
        <f t="shared" ref="K45" si="106">+IF(D45=0.667,E45*F45*G45*H45*J45,0)</f>
        <v>0</v>
      </c>
      <c r="L45" s="103">
        <f t="shared" ref="L45" si="107">+IF(D45=0.333,E45*F45*G45*J45,0)</f>
        <v>0</v>
      </c>
      <c r="M45" s="81">
        <v>0</v>
      </c>
      <c r="N45" s="103">
        <f t="shared" ref="N45" si="108">+IF(D45=0.667,E45*F45*G45*H45*M45,0)</f>
        <v>0</v>
      </c>
      <c r="O45" s="103">
        <f t="shared" ref="O45" si="109">+IF(D45=0.333,E45*F45*G45*M45,0)</f>
        <v>0</v>
      </c>
      <c r="P45" s="81">
        <v>2</v>
      </c>
      <c r="Q45" s="103">
        <f t="shared" ref="Q45" si="110">+IF(D45=0.667,E45*F45*G45*H45*P45,0)</f>
        <v>-2.6680000000000001</v>
      </c>
      <c r="R45" s="103">
        <f t="shared" ref="R45" si="111">+IF(D45=0.333,E45*F45*G45*P45,0)</f>
        <v>0</v>
      </c>
      <c r="S45" s="104">
        <f t="shared" si="101"/>
        <v>-2.6680000000000001</v>
      </c>
      <c r="T45" s="104">
        <f t="shared" si="102"/>
        <v>0</v>
      </c>
      <c r="U45" s="18"/>
      <c r="V45" s="26"/>
      <c r="W45" s="225">
        <f>+G45+D45</f>
        <v>2.6669999999999998</v>
      </c>
      <c r="X45" s="225">
        <v>0.5</v>
      </c>
      <c r="Y45" s="225">
        <f>+IF(D45=0.667,-E45*F45*H45*W45*X45,0)</f>
        <v>0.88944449999999997</v>
      </c>
      <c r="Z45" s="225">
        <f>+IF(D45=0.333,-E45*F45*H45*W45*X45,0)</f>
        <v>0</v>
      </c>
      <c r="AA45" s="225">
        <f>+F45*G45*H45</f>
        <v>1.3340000000000001</v>
      </c>
      <c r="AB45" s="225">
        <f t="shared" ref="AB45" si="112">2*F45*W45*X45</f>
        <v>2.6669999999999998</v>
      </c>
      <c r="AC45" s="27"/>
      <c r="AD45" s="21">
        <v>0.16700000000000001</v>
      </c>
      <c r="AE45" s="21">
        <f t="shared" ref="AE45" si="113">+IF(D45=0.667,AD45*W45*H45*F45,0)</f>
        <v>0.29707446300000001</v>
      </c>
      <c r="AF45" s="21">
        <f t="shared" ref="AF45" si="114">+IF(D45=0.333,AD45*W45*H45*F45,0)</f>
        <v>0</v>
      </c>
      <c r="AG45" s="27"/>
      <c r="AH45" s="396"/>
      <c r="AI45" s="21">
        <f t="shared" ref="AI45" si="115">+AH45*G45*D45*0.17</f>
        <v>0</v>
      </c>
      <c r="AK45" s="301"/>
      <c r="AL45" s="301"/>
      <c r="AM45" s="301"/>
      <c r="AN45" s="301"/>
      <c r="AO45" s="299"/>
      <c r="AP45" s="301"/>
      <c r="AQ45" s="301"/>
    </row>
    <row r="46" spans="2:43" s="412" customFormat="1" ht="20.100000000000001" customHeight="1" x14ac:dyDescent="0.3">
      <c r="B46" s="402"/>
      <c r="C46" s="62" t="s">
        <v>48</v>
      </c>
      <c r="D46" s="298">
        <v>0.66700000000000004</v>
      </c>
      <c r="E46" s="18">
        <v>-1</v>
      </c>
      <c r="F46" s="18">
        <v>1</v>
      </c>
      <c r="G46" s="675">
        <v>5</v>
      </c>
      <c r="H46" s="20">
        <f t="shared" ref="H46:H47" si="116">+D46</f>
        <v>0.66700000000000004</v>
      </c>
      <c r="I46" s="21"/>
      <c r="J46" s="81"/>
      <c r="K46" s="103">
        <f t="shared" ref="K46:K47" si="117">+IF(D46=0.667,E46*F46*G46*H46*J46,0)</f>
        <v>0</v>
      </c>
      <c r="L46" s="103">
        <f t="shared" ref="L46:L47" si="118">+IF(D46=0.333,E46*F46*G46*J46,0)</f>
        <v>0</v>
      </c>
      <c r="M46" s="81">
        <v>2.25</v>
      </c>
      <c r="N46" s="103">
        <f t="shared" ref="N46:N47" si="119">+IF(D46=0.667,E46*F46*G46*H46*M46,0)</f>
        <v>-7.5037500000000001</v>
      </c>
      <c r="O46" s="103">
        <f t="shared" ref="O46:O47" si="120">+IF(D46=0.333,E46*F46*G46*M46,0)</f>
        <v>0</v>
      </c>
      <c r="P46" s="81"/>
      <c r="Q46" s="103">
        <f t="shared" ref="Q46:Q47" si="121">+IF(D46=0.667,E46*F46*G46*H46*P46,0)</f>
        <v>0</v>
      </c>
      <c r="R46" s="103">
        <f t="shared" ref="R46:R47" si="122">+IF(D46=0.333,E46*F46*G46*P46,0)</f>
        <v>0</v>
      </c>
      <c r="S46" s="104">
        <f t="shared" ref="S46:S52" si="123">+Q46+N46+K46</f>
        <v>-7.5037500000000001</v>
      </c>
      <c r="T46" s="408">
        <f t="shared" ref="T46:T52" si="124">+R46+O46+L46</f>
        <v>0</v>
      </c>
      <c r="U46" s="402"/>
      <c r="V46" s="409"/>
      <c r="W46" s="691">
        <f>+G46+D46</f>
        <v>5.6669999999999998</v>
      </c>
      <c r="X46" s="691">
        <v>0.5</v>
      </c>
      <c r="Y46" s="691">
        <f>+IF(D46=0.667,-E46*F46*H46*W46*X46,0)</f>
        <v>1.8899445000000001</v>
      </c>
      <c r="Z46" s="691">
        <f>+IF(D46=0.333,-E46*F46*H46*W46*X46,0)</f>
        <v>0</v>
      </c>
      <c r="AA46" s="691">
        <f>+F46*G46*H46</f>
        <v>3.335</v>
      </c>
      <c r="AB46" s="691">
        <f t="shared" ref="AB46:AB47" si="125">2*F46*W46*X46</f>
        <v>5.6669999999999998</v>
      </c>
      <c r="AC46" s="410"/>
      <c r="AD46" s="405">
        <v>0.16700000000000001</v>
      </c>
      <c r="AE46" s="405">
        <f t="shared" ref="AE46:AE47" si="126">+IF(D46=0.667,AD46*W46*H46*F46,0)</f>
        <v>0.63124146300000006</v>
      </c>
      <c r="AF46" s="405">
        <f t="shared" ref="AF46:AF47" si="127">+IF(D46=0.333,AD46*W46*H46*F46,0)</f>
        <v>0</v>
      </c>
      <c r="AG46" s="410"/>
      <c r="AH46" s="411"/>
      <c r="AI46" s="405">
        <f t="shared" ref="AI46:AI47" si="128">+AH46*G46*D46*0.17</f>
        <v>0</v>
      </c>
      <c r="AK46" s="413"/>
      <c r="AL46" s="413"/>
      <c r="AM46" s="413"/>
      <c r="AN46" s="413"/>
      <c r="AO46" s="414"/>
      <c r="AP46" s="413"/>
      <c r="AQ46" s="413"/>
    </row>
    <row r="47" spans="2:43" ht="20.100000000000001" customHeight="1" x14ac:dyDescent="0.3">
      <c r="B47" s="18"/>
      <c r="C47" s="62" t="s">
        <v>561</v>
      </c>
      <c r="D47" s="98">
        <v>0.66700000000000004</v>
      </c>
      <c r="E47" s="18">
        <v>-1</v>
      </c>
      <c r="F47" s="18">
        <v>1</v>
      </c>
      <c r="G47" s="675">
        <v>2.5</v>
      </c>
      <c r="H47" s="20">
        <f t="shared" si="116"/>
        <v>0.66700000000000004</v>
      </c>
      <c r="I47" s="21"/>
      <c r="J47" s="81">
        <v>3</v>
      </c>
      <c r="K47" s="103">
        <f t="shared" si="117"/>
        <v>-5.0024999999999995</v>
      </c>
      <c r="L47" s="103">
        <f t="shared" si="118"/>
        <v>0</v>
      </c>
      <c r="M47" s="81">
        <v>4</v>
      </c>
      <c r="N47" s="103">
        <f t="shared" si="119"/>
        <v>-6.67</v>
      </c>
      <c r="O47" s="103">
        <f t="shared" si="120"/>
        <v>0</v>
      </c>
      <c r="P47" s="81"/>
      <c r="Q47" s="103">
        <f t="shared" si="121"/>
        <v>0</v>
      </c>
      <c r="R47" s="103">
        <f t="shared" si="122"/>
        <v>0</v>
      </c>
      <c r="S47" s="104">
        <f t="shared" si="123"/>
        <v>-11.672499999999999</v>
      </c>
      <c r="T47" s="104">
        <f t="shared" si="124"/>
        <v>0</v>
      </c>
      <c r="U47" s="18"/>
      <c r="V47" s="26"/>
      <c r="W47" s="225">
        <f>+G47+D47</f>
        <v>3.1669999999999998</v>
      </c>
      <c r="X47" s="225">
        <v>0.5</v>
      </c>
      <c r="Y47" s="225">
        <f>+IF(D47=0.667,-E47*F47*H47*W47*X47,0)</f>
        <v>1.0561944999999999</v>
      </c>
      <c r="Z47" s="225">
        <f>+IF(D47=0.333,-E47*F47*H47*W47*X47,0)</f>
        <v>0</v>
      </c>
      <c r="AA47" s="225">
        <f>+F47*G47*H47</f>
        <v>1.6675</v>
      </c>
      <c r="AB47" s="225">
        <f t="shared" si="125"/>
        <v>3.1669999999999998</v>
      </c>
      <c r="AC47" s="27"/>
      <c r="AD47" s="21"/>
      <c r="AE47" s="21">
        <f t="shared" si="126"/>
        <v>0</v>
      </c>
      <c r="AF47" s="21">
        <f t="shared" si="127"/>
        <v>0</v>
      </c>
      <c r="AG47" s="27"/>
      <c r="AH47" s="396"/>
      <c r="AI47" s="21">
        <f t="shared" si="128"/>
        <v>0</v>
      </c>
      <c r="AK47" s="301">
        <f t="shared" ref="AK47:AK48" si="129">+IF(D47=0.667,E47*F47*G47,0)</f>
        <v>-2.5</v>
      </c>
      <c r="AL47" s="301">
        <f t="shared" ref="AL47:AL48" si="130">+IF(D47=0.333,E47*F47*G47,0)</f>
        <v>0</v>
      </c>
      <c r="AM47" s="301">
        <f>+IF(D47=0.667,1.33,0)</f>
        <v>1.33</v>
      </c>
      <c r="AN47" s="301">
        <f>+IF(D47=0.333,1.33,0)</f>
        <v>0</v>
      </c>
      <c r="AO47" s="299"/>
      <c r="AP47" s="301"/>
      <c r="AQ47" s="301"/>
    </row>
    <row r="48" spans="2:43" ht="20.100000000000001" customHeight="1" x14ac:dyDescent="0.3">
      <c r="B48" s="92"/>
      <c r="C48" s="62" t="s">
        <v>32</v>
      </c>
      <c r="D48" s="98">
        <v>0.66700000000000004</v>
      </c>
      <c r="E48" s="92">
        <v>1</v>
      </c>
      <c r="F48" s="92">
        <v>1</v>
      </c>
      <c r="G48" s="675">
        <f>(7.229)*3.281</f>
        <v>23.718349</v>
      </c>
      <c r="H48" s="98">
        <f>+D48</f>
        <v>0.66700000000000004</v>
      </c>
      <c r="I48" s="94">
        <v>2</v>
      </c>
      <c r="J48" s="99">
        <v>3</v>
      </c>
      <c r="K48" s="100">
        <f>+IF(D48=0.667,E48*F48*G48*H48*J48,0)</f>
        <v>47.460416348999999</v>
      </c>
      <c r="L48" s="100">
        <f>+IF(D48=0.333,E48*F48*G48*J48,0)</f>
        <v>0</v>
      </c>
      <c r="M48" s="99">
        <v>4</v>
      </c>
      <c r="N48" s="100">
        <f>+IF(D48=0.667,E48*F48*G48*H48*M48,0)</f>
        <v>63.280555132000003</v>
      </c>
      <c r="O48" s="100">
        <f>+IF(D48=0.333,E48*F48*G48*M48,0)</f>
        <v>0</v>
      </c>
      <c r="P48" s="81">
        <f t="shared" ref="P48" si="131">11.833-I48-M48-J48</f>
        <v>2.8330000000000002</v>
      </c>
      <c r="Q48" s="100">
        <f>+IF(D48=0.667,E48*F48*G48*H48*P48,0)</f>
        <v>44.818453172239003</v>
      </c>
      <c r="R48" s="100">
        <f>+IF(D48=0.333,E48*F48*G48*P48,0)</f>
        <v>0</v>
      </c>
      <c r="S48" s="101">
        <f t="shared" si="123"/>
        <v>155.55942465323901</v>
      </c>
      <c r="T48" s="101">
        <f t="shared" si="124"/>
        <v>0</v>
      </c>
      <c r="U48" s="92"/>
      <c r="V48" s="91"/>
      <c r="W48" s="102"/>
      <c r="X48" s="98"/>
      <c r="Y48" s="102"/>
      <c r="Z48" s="98"/>
      <c r="AA48" s="98"/>
      <c r="AB48" s="98"/>
      <c r="AC48" s="91"/>
      <c r="AD48" s="98"/>
      <c r="AE48" s="98"/>
      <c r="AF48" s="98"/>
      <c r="AG48" s="91"/>
      <c r="AH48" s="460">
        <v>1</v>
      </c>
      <c r="AI48" s="299">
        <f>+AH48*G48*D48*0.17</f>
        <v>2.6894235931100003</v>
      </c>
      <c r="AK48" s="301">
        <f t="shared" si="129"/>
        <v>23.718349</v>
      </c>
      <c r="AL48" s="301">
        <f t="shared" si="130"/>
        <v>0</v>
      </c>
      <c r="AM48" s="301"/>
      <c r="AN48" s="301"/>
      <c r="AO48" s="299"/>
      <c r="AP48" s="301"/>
      <c r="AQ48" s="301"/>
    </row>
    <row r="49" spans="2:43" ht="20.100000000000001" customHeight="1" x14ac:dyDescent="0.3">
      <c r="B49" s="18"/>
      <c r="C49" s="62" t="s">
        <v>48</v>
      </c>
      <c r="D49" s="298">
        <v>0.66700000000000004</v>
      </c>
      <c r="E49" s="18">
        <v>-1</v>
      </c>
      <c r="F49" s="18">
        <v>1</v>
      </c>
      <c r="G49" s="675">
        <v>5</v>
      </c>
      <c r="H49" s="20">
        <f t="shared" ref="H49:H50" si="132">+D49</f>
        <v>0.66700000000000004</v>
      </c>
      <c r="I49" s="21"/>
      <c r="J49" s="81"/>
      <c r="K49" s="103">
        <f t="shared" ref="K49:K50" si="133">+IF(D49=0.667,E49*F49*G49*H49*J49,0)</f>
        <v>0</v>
      </c>
      <c r="L49" s="103">
        <f t="shared" ref="L49:L50" si="134">+IF(D49=0.333,E49*F49*G49*J49,0)</f>
        <v>0</v>
      </c>
      <c r="M49" s="81">
        <v>2.25</v>
      </c>
      <c r="N49" s="103">
        <f t="shared" ref="N49:N50" si="135">+IF(D49=0.667,E49*F49*G49*H49*M49,0)</f>
        <v>-7.5037500000000001</v>
      </c>
      <c r="O49" s="103">
        <f t="shared" ref="O49:O50" si="136">+IF(D49=0.333,E49*F49*G49*M49,0)</f>
        <v>0</v>
      </c>
      <c r="P49" s="81"/>
      <c r="Q49" s="103">
        <f t="shared" ref="Q49:Q50" si="137">+IF(D49=0.667,E49*F49*G49*H49*P49,0)</f>
        <v>0</v>
      </c>
      <c r="R49" s="103">
        <f t="shared" ref="R49:R50" si="138">+IF(D49=0.333,E49*F49*G49*P49,0)</f>
        <v>0</v>
      </c>
      <c r="S49" s="104">
        <f t="shared" si="123"/>
        <v>-7.5037500000000001</v>
      </c>
      <c r="T49" s="104">
        <f t="shared" si="124"/>
        <v>0</v>
      </c>
      <c r="U49" s="18"/>
      <c r="V49" s="26"/>
      <c r="W49" s="225">
        <f>+G49+D49</f>
        <v>5.6669999999999998</v>
      </c>
      <c r="X49" s="225">
        <v>0.5</v>
      </c>
      <c r="Y49" s="225">
        <f>+IF(D49=0.667,-E49*F49*H49*W49*X49,0)</f>
        <v>1.8899445000000001</v>
      </c>
      <c r="Z49" s="225">
        <f>+IF(D49=0.333,-E49*F49*H49*W49*X49,0)</f>
        <v>0</v>
      </c>
      <c r="AA49" s="225">
        <f>+F49*G49*H49</f>
        <v>3.335</v>
      </c>
      <c r="AB49" s="225">
        <f t="shared" ref="AB49:AB50" si="139">2*F49*W49*X49</f>
        <v>5.6669999999999998</v>
      </c>
      <c r="AC49" s="27"/>
      <c r="AD49" s="21">
        <v>0.16700000000000001</v>
      </c>
      <c r="AE49" s="21">
        <f t="shared" ref="AE49:AE50" si="140">+IF(D49=0.667,AD49*W49*H49*F49,0)</f>
        <v>0.63124146300000006</v>
      </c>
      <c r="AF49" s="21">
        <f t="shared" ref="AF49:AF50" si="141">+IF(D49=0.333,AD49*W49*H49*F49,0)</f>
        <v>0</v>
      </c>
      <c r="AG49" s="27"/>
      <c r="AH49" s="396"/>
      <c r="AI49" s="21">
        <f t="shared" ref="AI49:AI50" si="142">+AH49*G49*D49*0.17</f>
        <v>0</v>
      </c>
      <c r="AK49" s="301"/>
      <c r="AL49" s="301"/>
      <c r="AM49" s="301"/>
      <c r="AN49" s="301"/>
      <c r="AO49" s="299"/>
      <c r="AP49" s="301"/>
      <c r="AQ49" s="301"/>
    </row>
    <row r="50" spans="2:43" ht="20.100000000000001" customHeight="1" x14ac:dyDescent="0.3">
      <c r="B50" s="18"/>
      <c r="C50" s="62" t="s">
        <v>246</v>
      </c>
      <c r="D50" s="298">
        <v>0.66700000000000004</v>
      </c>
      <c r="E50" s="18">
        <v>-1</v>
      </c>
      <c r="F50" s="18">
        <v>1</v>
      </c>
      <c r="G50" s="675">
        <v>2</v>
      </c>
      <c r="H50" s="20">
        <f t="shared" si="132"/>
        <v>0.66700000000000004</v>
      </c>
      <c r="I50" s="21"/>
      <c r="J50" s="81"/>
      <c r="K50" s="103">
        <f t="shared" si="133"/>
        <v>0</v>
      </c>
      <c r="L50" s="103">
        <f t="shared" si="134"/>
        <v>0</v>
      </c>
      <c r="M50" s="81">
        <v>0</v>
      </c>
      <c r="N50" s="103">
        <f t="shared" si="135"/>
        <v>0</v>
      </c>
      <c r="O50" s="103">
        <f t="shared" si="136"/>
        <v>0</v>
      </c>
      <c r="P50" s="81">
        <v>2</v>
      </c>
      <c r="Q50" s="103">
        <f t="shared" si="137"/>
        <v>-2.6680000000000001</v>
      </c>
      <c r="R50" s="103">
        <f t="shared" si="138"/>
        <v>0</v>
      </c>
      <c r="S50" s="104">
        <f t="shared" si="123"/>
        <v>-2.6680000000000001</v>
      </c>
      <c r="T50" s="104">
        <f t="shared" si="124"/>
        <v>0</v>
      </c>
      <c r="U50" s="18"/>
      <c r="V50" s="26"/>
      <c r="W50" s="225">
        <f>+G50+D50</f>
        <v>2.6669999999999998</v>
      </c>
      <c r="X50" s="225">
        <v>0.5</v>
      </c>
      <c r="Y50" s="225">
        <f>+IF(D50=0.667,-E50*F50*H50*W50*X50,0)</f>
        <v>0.88944449999999997</v>
      </c>
      <c r="Z50" s="225">
        <f>+IF(D50=0.333,-E50*F50*H50*W50*X50,0)</f>
        <v>0</v>
      </c>
      <c r="AA50" s="225">
        <f>+F50*G50*H50</f>
        <v>1.3340000000000001</v>
      </c>
      <c r="AB50" s="225">
        <f t="shared" si="139"/>
        <v>2.6669999999999998</v>
      </c>
      <c r="AC50" s="27"/>
      <c r="AD50" s="21">
        <v>0.16700000000000001</v>
      </c>
      <c r="AE50" s="21">
        <f t="shared" si="140"/>
        <v>0.29707446300000001</v>
      </c>
      <c r="AF50" s="21">
        <f t="shared" si="141"/>
        <v>0</v>
      </c>
      <c r="AG50" s="27"/>
      <c r="AH50" s="396"/>
      <c r="AI50" s="21">
        <f t="shared" si="142"/>
        <v>0</v>
      </c>
      <c r="AK50" s="301"/>
      <c r="AL50" s="301"/>
      <c r="AM50" s="301"/>
      <c r="AN50" s="301"/>
      <c r="AO50" s="299"/>
      <c r="AP50" s="301"/>
      <c r="AQ50" s="301"/>
    </row>
    <row r="51" spans="2:43" ht="20.100000000000001" customHeight="1" x14ac:dyDescent="0.3">
      <c r="B51" s="18"/>
      <c r="C51" s="62" t="s">
        <v>562</v>
      </c>
      <c r="D51" s="298">
        <v>0.66700000000000004</v>
      </c>
      <c r="E51" s="18">
        <v>-1</v>
      </c>
      <c r="F51" s="18">
        <v>1</v>
      </c>
      <c r="G51" s="675">
        <v>3.3330000000000002</v>
      </c>
      <c r="H51" s="20">
        <f t="shared" ref="H51" si="143">+D51</f>
        <v>0.66700000000000004</v>
      </c>
      <c r="I51" s="21"/>
      <c r="J51" s="81"/>
      <c r="K51" s="103">
        <f t="shared" ref="K51" si="144">+IF(D51=0.667,E51*F51*G51*H51*J51,0)</f>
        <v>0</v>
      </c>
      <c r="L51" s="103">
        <f t="shared" ref="L51" si="145">+IF(D51=0.333,E51*F51*G51*J51,0)</f>
        <v>0</v>
      </c>
      <c r="M51" s="81">
        <v>3</v>
      </c>
      <c r="N51" s="103">
        <f t="shared" ref="N51" si="146">+IF(D51=0.667,E51*F51*G51*H51*M51,0)</f>
        <v>-6.6693330000000008</v>
      </c>
      <c r="O51" s="103">
        <f t="shared" ref="O51" si="147">+IF(D51=0.333,E51*F51*G51*M51,0)</f>
        <v>0</v>
      </c>
      <c r="P51" s="81">
        <v>3.25</v>
      </c>
      <c r="Q51" s="103">
        <f t="shared" ref="Q51" si="148">+IF(D51=0.667,E51*F51*G51*H51*P51,0)</f>
        <v>-7.2251107500000007</v>
      </c>
      <c r="R51" s="103">
        <f t="shared" ref="R51" si="149">+IF(D51=0.333,E51*F51*G51*P51,0)</f>
        <v>0</v>
      </c>
      <c r="S51" s="104">
        <f t="shared" ref="S51" si="150">+Q51+N51+K51</f>
        <v>-13.894443750000001</v>
      </c>
      <c r="T51" s="104">
        <f t="shared" ref="T51" si="151">+R51+O51+L51</f>
        <v>0</v>
      </c>
      <c r="U51" s="18"/>
      <c r="V51" s="26"/>
      <c r="W51" s="225">
        <f>+G51+D51</f>
        <v>4</v>
      </c>
      <c r="X51" s="225">
        <v>0.5</v>
      </c>
      <c r="Y51" s="225">
        <f>+IF(D51=0.667,-E51*F51*H51*W51*X51,0)</f>
        <v>1.3340000000000001</v>
      </c>
      <c r="Z51" s="225">
        <f>+IF(D51=0.333,-E51*F51*H51*W51*X51,0)</f>
        <v>0</v>
      </c>
      <c r="AA51" s="225">
        <f>+F51*G51*H51</f>
        <v>2.2231110000000003</v>
      </c>
      <c r="AB51" s="225">
        <f t="shared" ref="AB51" si="152">2*F51*W51*X51</f>
        <v>4</v>
      </c>
      <c r="AC51" s="27"/>
      <c r="AD51" s="21">
        <v>0.16700000000000001</v>
      </c>
      <c r="AE51" s="21">
        <f t="shared" ref="AE51" si="153">+IF(D51=0.667,AD51*W51*H51*F51,0)</f>
        <v>0.44555600000000006</v>
      </c>
      <c r="AF51" s="21">
        <f t="shared" ref="AF51" si="154">+IF(D51=0.333,AD51*W51*H51*F51,0)</f>
        <v>0</v>
      </c>
      <c r="AG51" s="27"/>
      <c r="AH51" s="396"/>
      <c r="AI51" s="21">
        <f t="shared" ref="AI51" si="155">+AH51*G51*D51*0.17</f>
        <v>0</v>
      </c>
      <c r="AK51" s="301"/>
      <c r="AL51" s="301"/>
      <c r="AM51" s="301"/>
      <c r="AN51" s="301"/>
      <c r="AO51" s="299"/>
      <c r="AP51" s="301"/>
      <c r="AQ51" s="301"/>
    </row>
    <row r="52" spans="2:43" ht="20.100000000000001" customHeight="1" x14ac:dyDescent="0.3">
      <c r="B52" s="92"/>
      <c r="C52" s="62" t="s">
        <v>38</v>
      </c>
      <c r="D52" s="98">
        <v>0.66700000000000004</v>
      </c>
      <c r="E52" s="92">
        <v>1</v>
      </c>
      <c r="F52" s="92">
        <v>1</v>
      </c>
      <c r="G52" s="675">
        <f>(7.204)*3.281</f>
        <v>23.636324000000002</v>
      </c>
      <c r="H52" s="98">
        <f>+D52</f>
        <v>0.66700000000000004</v>
      </c>
      <c r="I52" s="94">
        <v>2</v>
      </c>
      <c r="J52" s="99">
        <v>3</v>
      </c>
      <c r="K52" s="100">
        <f>+IF(D52=0.667,E52*F52*G52*H52*J52,0)</f>
        <v>47.296284324000005</v>
      </c>
      <c r="L52" s="100">
        <f>+IF(D52=0.333,E52*F52*G52*J52,0)</f>
        <v>0</v>
      </c>
      <c r="M52" s="99">
        <v>4</v>
      </c>
      <c r="N52" s="100">
        <f>+IF(D52=0.667,E52*F52*G52*H52*M52,0)</f>
        <v>63.061712432000007</v>
      </c>
      <c r="O52" s="100">
        <f>+IF(D52=0.333,E52*F52*G52*M52,0)</f>
        <v>0</v>
      </c>
      <c r="P52" s="81">
        <f t="shared" ref="P52:P53" si="156">11.833-I52-M52-J52</f>
        <v>2.8330000000000002</v>
      </c>
      <c r="Q52" s="100">
        <f>+IF(D52=0.667,E52*F52*G52*H52*P52,0)</f>
        <v>44.66345782996401</v>
      </c>
      <c r="R52" s="100">
        <f>+IF(D52=0.333,E52*F52*G52*P52,0)</f>
        <v>0</v>
      </c>
      <c r="S52" s="101">
        <f t="shared" si="123"/>
        <v>155.02145458596402</v>
      </c>
      <c r="T52" s="101">
        <f t="shared" si="124"/>
        <v>0</v>
      </c>
      <c r="U52" s="92"/>
      <c r="V52" s="91"/>
      <c r="W52" s="102"/>
      <c r="X52" s="98"/>
      <c r="Y52" s="102"/>
      <c r="Z52" s="98"/>
      <c r="AA52" s="98"/>
      <c r="AB52" s="98"/>
      <c r="AC52" s="91"/>
      <c r="AD52" s="98"/>
      <c r="AE52" s="98"/>
      <c r="AF52" s="98"/>
      <c r="AG52" s="91"/>
      <c r="AH52" s="460">
        <v>1</v>
      </c>
      <c r="AI52" s="299">
        <f>+AH52*G52*D52*0.17</f>
        <v>2.6801227783600003</v>
      </c>
      <c r="AK52" s="301">
        <f t="shared" ref="AK52" si="157">+IF(D52=0.667,E52*F52*G52,0)</f>
        <v>23.636324000000002</v>
      </c>
      <c r="AL52" s="301">
        <f t="shared" ref="AL52" si="158">+IF(D52=0.333,E52*F52*G52,0)</f>
        <v>0</v>
      </c>
      <c r="AM52" s="301"/>
      <c r="AN52" s="301"/>
      <c r="AO52" s="299"/>
      <c r="AP52" s="301"/>
      <c r="AQ52" s="301"/>
    </row>
    <row r="53" spans="2:43" ht="24" customHeight="1" x14ac:dyDescent="0.3">
      <c r="B53" s="92"/>
      <c r="C53" s="62" t="s">
        <v>339</v>
      </c>
      <c r="D53" s="98">
        <v>0.66700000000000004</v>
      </c>
      <c r="E53" s="415">
        <f>1*0</f>
        <v>0</v>
      </c>
      <c r="F53" s="415">
        <f>1*0</f>
        <v>0</v>
      </c>
      <c r="G53" s="98">
        <f>(2.251+2.066+5.279)*3.281</f>
        <v>31.484476000000001</v>
      </c>
      <c r="H53" s="98">
        <f>+D53</f>
        <v>0.66700000000000004</v>
      </c>
      <c r="I53" s="94">
        <v>2</v>
      </c>
      <c r="J53" s="99">
        <v>3</v>
      </c>
      <c r="K53" s="100">
        <f>+IF(D53=0.667,E53*F53*G53*H53*J53,0)</f>
        <v>0</v>
      </c>
      <c r="L53" s="100">
        <f>+IF(D53=0.333,E53*F53*G53*J53,0)</f>
        <v>0</v>
      </c>
      <c r="M53" s="99">
        <v>4</v>
      </c>
      <c r="N53" s="100">
        <f>+IF(D53=0.667,E53*F53*G53*H53*M53,0)</f>
        <v>0</v>
      </c>
      <c r="O53" s="100">
        <f>+IF(D53=0.333,E53*F53*G53*M53,0)</f>
        <v>0</v>
      </c>
      <c r="P53" s="81">
        <f t="shared" si="156"/>
        <v>2.8330000000000002</v>
      </c>
      <c r="Q53" s="100">
        <f>+IF(D53=0.667,E53*F53*G53*H53*P53,0)</f>
        <v>0</v>
      </c>
      <c r="R53" s="100">
        <f>+IF(D53=0.333,E53*F53*G53*P53,0)</f>
        <v>0</v>
      </c>
      <c r="S53" s="101">
        <f t="shared" ref="S53:S54" si="159">+Q53+N53+K53</f>
        <v>0</v>
      </c>
      <c r="T53" s="101">
        <f t="shared" ref="T53:T54" si="160">+R53+O53+L53</f>
        <v>0</v>
      </c>
      <c r="U53" s="92"/>
      <c r="V53" s="91"/>
      <c r="W53" s="102"/>
      <c r="X53" s="98"/>
      <c r="Y53" s="102"/>
      <c r="Z53" s="98"/>
      <c r="AA53" s="98"/>
      <c r="AB53" s="98"/>
      <c r="AC53" s="91"/>
      <c r="AD53" s="98"/>
      <c r="AE53" s="98"/>
      <c r="AF53" s="98"/>
      <c r="AG53" s="91"/>
      <c r="AH53" s="415">
        <f>1*0</f>
        <v>0</v>
      </c>
      <c r="AI53" s="299">
        <f>+AH53*G53*D53*0.17</f>
        <v>0</v>
      </c>
      <c r="AK53" s="301">
        <f t="shared" ref="AK53" si="161">+IF(D53=0.667,E53*F53*G53,0)</f>
        <v>0</v>
      </c>
      <c r="AL53" s="301">
        <f t="shared" ref="AL53" si="162">+IF(D53=0.333,E53*F53*G53,0)</f>
        <v>0</v>
      </c>
      <c r="AM53" s="301"/>
      <c r="AN53" s="301"/>
      <c r="AO53" s="299"/>
      <c r="AP53" s="301"/>
      <c r="AQ53" s="301"/>
    </row>
    <row r="54" spans="2:43" ht="20.100000000000001" customHeight="1" x14ac:dyDescent="0.3">
      <c r="B54" s="18"/>
      <c r="C54" s="62" t="s">
        <v>246</v>
      </c>
      <c r="D54" s="298">
        <v>0.66700000000000004</v>
      </c>
      <c r="E54" s="607">
        <f>-1*0</f>
        <v>0</v>
      </c>
      <c r="F54" s="607">
        <f t="shared" ref="F54:F60" si="163">1*0</f>
        <v>0</v>
      </c>
      <c r="G54" s="20">
        <v>2</v>
      </c>
      <c r="H54" s="20">
        <f t="shared" ref="H54" si="164">+D54</f>
        <v>0.66700000000000004</v>
      </c>
      <c r="I54" s="21"/>
      <c r="J54" s="81"/>
      <c r="K54" s="103">
        <f t="shared" ref="K54" si="165">+IF(D54=0.667,E54*F54*G54*H54*J54,0)</f>
        <v>0</v>
      </c>
      <c r="L54" s="103">
        <f t="shared" ref="L54" si="166">+IF(D54=0.333,E54*F54*G54*J54,0)</f>
        <v>0</v>
      </c>
      <c r="M54" s="81">
        <v>0</v>
      </c>
      <c r="N54" s="103">
        <f t="shared" ref="N54" si="167">+IF(D54=0.667,E54*F54*G54*H54*M54,0)</f>
        <v>0</v>
      </c>
      <c r="O54" s="103">
        <f t="shared" ref="O54" si="168">+IF(D54=0.333,E54*F54*G54*M54,0)</f>
        <v>0</v>
      </c>
      <c r="P54" s="81">
        <v>2</v>
      </c>
      <c r="Q54" s="103">
        <f t="shared" ref="Q54" si="169">+IF(D54=0.667,E54*F54*G54*H54*P54,0)</f>
        <v>0</v>
      </c>
      <c r="R54" s="103">
        <f t="shared" ref="R54" si="170">+IF(D54=0.333,E54*F54*G54*P54,0)</f>
        <v>0</v>
      </c>
      <c r="S54" s="104">
        <f t="shared" si="159"/>
        <v>0</v>
      </c>
      <c r="T54" s="104">
        <f t="shared" si="160"/>
        <v>0</v>
      </c>
      <c r="U54" s="18"/>
      <c r="V54" s="26"/>
      <c r="W54" s="21">
        <f>+G54+D54</f>
        <v>2.6669999999999998</v>
      </c>
      <c r="X54" s="21">
        <v>0.5</v>
      </c>
      <c r="Y54" s="21">
        <f>+IF(D54=0.667,-E54*F54*H54*W54*X54,0)</f>
        <v>0</v>
      </c>
      <c r="Z54" s="21">
        <f>+IF(D54=0.333,-E54*F54*H54*W54*X54,0)</f>
        <v>0</v>
      </c>
      <c r="AA54" s="21">
        <f>+F54*G54*H54</f>
        <v>0</v>
      </c>
      <c r="AB54" s="21">
        <f t="shared" ref="AB54" si="171">2*F54*W54*X54</f>
        <v>0</v>
      </c>
      <c r="AC54" s="27"/>
      <c r="AD54" s="21">
        <v>0.16700000000000001</v>
      </c>
      <c r="AE54" s="21">
        <f t="shared" ref="AE54" si="172">+IF(D54=0.667,AD54*W54*H54*F54,0)</f>
        <v>0</v>
      </c>
      <c r="AF54" s="21">
        <f t="shared" ref="AF54" si="173">+IF(D54=0.333,AD54*W54*H54*F54,0)</f>
        <v>0</v>
      </c>
      <c r="AG54" s="27"/>
      <c r="AH54" s="396"/>
      <c r="AI54" s="21">
        <f t="shared" ref="AI54" si="174">+AH54*G54*D54*0.17</f>
        <v>0</v>
      </c>
      <c r="AK54" s="301"/>
      <c r="AL54" s="301"/>
      <c r="AM54" s="301"/>
      <c r="AN54" s="301"/>
      <c r="AO54" s="299"/>
      <c r="AP54" s="301"/>
      <c r="AQ54" s="301"/>
    </row>
    <row r="55" spans="2:43" ht="20.100000000000001" customHeight="1" x14ac:dyDescent="0.3">
      <c r="B55" s="92"/>
      <c r="C55" s="62" t="s">
        <v>338</v>
      </c>
      <c r="D55" s="98">
        <v>0.66700000000000004</v>
      </c>
      <c r="E55" s="607">
        <f>1*0</f>
        <v>0</v>
      </c>
      <c r="F55" s="607">
        <f t="shared" si="163"/>
        <v>0</v>
      </c>
      <c r="G55" s="98">
        <f>(1.875+1.275)*3.281</f>
        <v>10.335150000000001</v>
      </c>
      <c r="H55" s="98">
        <f>+D55</f>
        <v>0.66700000000000004</v>
      </c>
      <c r="I55" s="94">
        <v>2</v>
      </c>
      <c r="J55" s="99">
        <v>3</v>
      </c>
      <c r="K55" s="100">
        <f>+IF(D55=0.667,E55*F55*G55*H55*J55,0)</f>
        <v>0</v>
      </c>
      <c r="L55" s="100">
        <f>+IF(D55=0.333,E55*F55*G55*J55,0)</f>
        <v>0</v>
      </c>
      <c r="M55" s="99">
        <v>4</v>
      </c>
      <c r="N55" s="100">
        <f>+IF(D55=0.667,E55*F55*G55*H55*M55,0)</f>
        <v>0</v>
      </c>
      <c r="O55" s="100">
        <f>+IF(D55=0.333,E55*F55*G55*M55,0)</f>
        <v>0</v>
      </c>
      <c r="P55" s="81">
        <f t="shared" ref="P55" si="175">11.833-I55-M55-J55</f>
        <v>2.8330000000000002</v>
      </c>
      <c r="Q55" s="100">
        <f>+IF(D55=0.667,E55*F55*G55*H55*P55,0)</f>
        <v>0</v>
      </c>
      <c r="R55" s="100">
        <f>+IF(D55=0.333,E55*F55*G55*P55,0)</f>
        <v>0</v>
      </c>
      <c r="S55" s="101">
        <f t="shared" ref="S55:S59" si="176">+Q55+N55+K55</f>
        <v>0</v>
      </c>
      <c r="T55" s="101">
        <f t="shared" ref="T55:T59" si="177">+R55+O55+L55</f>
        <v>0</v>
      </c>
      <c r="U55" s="92"/>
      <c r="V55" s="91"/>
      <c r="W55" s="102"/>
      <c r="X55" s="98"/>
      <c r="Y55" s="102"/>
      <c r="Z55" s="98"/>
      <c r="AA55" s="98"/>
      <c r="AB55" s="98"/>
      <c r="AC55" s="91"/>
      <c r="AD55" s="98"/>
      <c r="AE55" s="98"/>
      <c r="AF55" s="98"/>
      <c r="AG55" s="91"/>
      <c r="AH55" s="415">
        <f>1*0</f>
        <v>0</v>
      </c>
      <c r="AI55" s="299">
        <f>+AH55*G55*D55*0.17</f>
        <v>0</v>
      </c>
      <c r="AK55" s="301">
        <f t="shared" ref="AK55" si="178">+IF(D55=0.667,E55*F55*G55,0)</f>
        <v>0</v>
      </c>
      <c r="AL55" s="301">
        <f t="shared" ref="AL55" si="179">+IF(D55=0.333,E55*F55*G55,0)</f>
        <v>0</v>
      </c>
      <c r="AM55" s="301"/>
      <c r="AN55" s="301"/>
      <c r="AO55" s="299"/>
      <c r="AP55" s="301"/>
      <c r="AQ55" s="301"/>
    </row>
    <row r="56" spans="2:43" ht="20.100000000000001" customHeight="1" x14ac:dyDescent="0.3">
      <c r="B56" s="18"/>
      <c r="C56" s="62" t="s">
        <v>246</v>
      </c>
      <c r="D56" s="298">
        <v>0.66700000000000004</v>
      </c>
      <c r="E56" s="607">
        <f>-1*0</f>
        <v>0</v>
      </c>
      <c r="F56" s="607">
        <f t="shared" si="163"/>
        <v>0</v>
      </c>
      <c r="G56" s="20">
        <v>2</v>
      </c>
      <c r="H56" s="20">
        <f t="shared" ref="H56" si="180">+D56</f>
        <v>0.66700000000000004</v>
      </c>
      <c r="I56" s="21"/>
      <c r="J56" s="81"/>
      <c r="K56" s="103">
        <f t="shared" ref="K56" si="181">+IF(D56=0.667,E56*F56*G56*H56*J56,0)</f>
        <v>0</v>
      </c>
      <c r="L56" s="103">
        <f t="shared" ref="L56" si="182">+IF(D56=0.333,E56*F56*G56*J56,0)</f>
        <v>0</v>
      </c>
      <c r="M56" s="81">
        <v>0</v>
      </c>
      <c r="N56" s="103">
        <f t="shared" ref="N56" si="183">+IF(D56=0.667,E56*F56*G56*H56*M56,0)</f>
        <v>0</v>
      </c>
      <c r="O56" s="103">
        <f t="shared" ref="O56" si="184">+IF(D56=0.333,E56*F56*G56*M56,0)</f>
        <v>0</v>
      </c>
      <c r="P56" s="81">
        <v>2</v>
      </c>
      <c r="Q56" s="103">
        <f t="shared" ref="Q56" si="185">+IF(D56=0.667,E56*F56*G56*H56*P56,0)</f>
        <v>0</v>
      </c>
      <c r="R56" s="103">
        <f t="shared" ref="R56" si="186">+IF(D56=0.333,E56*F56*G56*P56,0)</f>
        <v>0</v>
      </c>
      <c r="S56" s="104">
        <f t="shared" si="176"/>
        <v>0</v>
      </c>
      <c r="T56" s="104">
        <f t="shared" si="177"/>
        <v>0</v>
      </c>
      <c r="U56" s="18"/>
      <c r="V56" s="26"/>
      <c r="W56" s="21">
        <f>+G56+D56</f>
        <v>2.6669999999999998</v>
      </c>
      <c r="X56" s="21">
        <v>0.5</v>
      </c>
      <c r="Y56" s="21">
        <f>+IF(D56=0.667,-E56*F56*H56*W56*X56,0)</f>
        <v>0</v>
      </c>
      <c r="Z56" s="21">
        <f>+IF(D56=0.333,-E56*F56*H56*W56*X56,0)</f>
        <v>0</v>
      </c>
      <c r="AA56" s="21">
        <f>+F56*G56*H56</f>
        <v>0</v>
      </c>
      <c r="AB56" s="21">
        <f t="shared" ref="AB56" si="187">2*F56*W56*X56</f>
        <v>0</v>
      </c>
      <c r="AC56" s="27"/>
      <c r="AD56" s="21">
        <v>0.16700000000000001</v>
      </c>
      <c r="AE56" s="21">
        <f t="shared" ref="AE56" si="188">+IF(D56=0.667,AD56*W56*H56*F56,0)</f>
        <v>0</v>
      </c>
      <c r="AF56" s="21">
        <f t="shared" ref="AF56" si="189">+IF(D56=0.333,AD56*W56*H56*F56,0)</f>
        <v>0</v>
      </c>
      <c r="AG56" s="27"/>
      <c r="AH56" s="396"/>
      <c r="AI56" s="21">
        <f t="shared" ref="AI56" si="190">+AH56*G56*D56*0.17</f>
        <v>0</v>
      </c>
      <c r="AK56" s="301"/>
      <c r="AL56" s="301"/>
      <c r="AM56" s="301"/>
      <c r="AN56" s="301"/>
      <c r="AO56" s="299"/>
      <c r="AP56" s="301"/>
      <c r="AQ56" s="301"/>
    </row>
    <row r="57" spans="2:43" ht="27.6" x14ac:dyDescent="0.3">
      <c r="B57" s="92"/>
      <c r="C57" s="62" t="s">
        <v>340</v>
      </c>
      <c r="D57" s="98">
        <v>0.33300000000000002</v>
      </c>
      <c r="E57" s="607">
        <f>1*0</f>
        <v>0</v>
      </c>
      <c r="F57" s="607">
        <f t="shared" si="163"/>
        <v>0</v>
      </c>
      <c r="G57" s="98">
        <f>(2.125+1.966+3.571)*3.281</f>
        <v>25.139022000000004</v>
      </c>
      <c r="H57" s="98">
        <f>+D57</f>
        <v>0.33300000000000002</v>
      </c>
      <c r="I57" s="94">
        <v>2</v>
      </c>
      <c r="J57" s="99">
        <v>3</v>
      </c>
      <c r="K57" s="100">
        <f>+IF(D57=0.667,E57*F57*G57*H57*J57,0)</f>
        <v>0</v>
      </c>
      <c r="L57" s="100">
        <f>+IF(D57=0.333,E57*F57*G57*J57,0)</f>
        <v>0</v>
      </c>
      <c r="M57" s="99">
        <v>4</v>
      </c>
      <c r="N57" s="100">
        <f>+IF(D57=0.667,E57*F57*G57*H57*M57,0)</f>
        <v>0</v>
      </c>
      <c r="O57" s="100">
        <f>+IF(D57=0.333,E57*F57*G57*M57,0)</f>
        <v>0</v>
      </c>
      <c r="P57" s="81">
        <f t="shared" ref="P57" si="191">11.833-I57-M57-J57</f>
        <v>2.8330000000000002</v>
      </c>
      <c r="Q57" s="100">
        <f>+IF(D57=0.667,E57*F57*G57*H57*P57,0)</f>
        <v>0</v>
      </c>
      <c r="R57" s="100">
        <f>+IF(D57=0.333,E57*F57*G57*P57,0)</f>
        <v>0</v>
      </c>
      <c r="S57" s="101">
        <f t="shared" si="176"/>
        <v>0</v>
      </c>
      <c r="T57" s="101">
        <f t="shared" si="177"/>
        <v>0</v>
      </c>
      <c r="U57" s="92"/>
      <c r="V57" s="91"/>
      <c r="W57" s="102"/>
      <c r="X57" s="98"/>
      <c r="Y57" s="102"/>
      <c r="Z57" s="98"/>
      <c r="AA57" s="98"/>
      <c r="AB57" s="98"/>
      <c r="AC57" s="91"/>
      <c r="AD57" s="98"/>
      <c r="AE57" s="98"/>
      <c r="AF57" s="98"/>
      <c r="AG57" s="91"/>
      <c r="AH57" s="415">
        <f>1*0</f>
        <v>0</v>
      </c>
      <c r="AI57" s="299">
        <f>+AH57*G57*D57*0.17</f>
        <v>0</v>
      </c>
      <c r="AK57" s="301">
        <f t="shared" ref="AK57:AK59" si="192">+IF(D57=0.667,E57*F57*G57,0)</f>
        <v>0</v>
      </c>
      <c r="AL57" s="301">
        <f t="shared" ref="AL57:AL59" si="193">+IF(D57=0.333,E57*F57*G57,0)</f>
        <v>0</v>
      </c>
      <c r="AM57" s="301"/>
      <c r="AN57" s="301"/>
      <c r="AO57" s="299"/>
      <c r="AP57" s="301"/>
      <c r="AQ57" s="301"/>
    </row>
    <row r="58" spans="2:43" ht="20.100000000000001" customHeight="1" x14ac:dyDescent="0.3">
      <c r="B58" s="18"/>
      <c r="C58" s="62" t="s">
        <v>337</v>
      </c>
      <c r="D58" s="98">
        <v>0.33300000000000002</v>
      </c>
      <c r="E58" s="607">
        <f>-1*0</f>
        <v>0</v>
      </c>
      <c r="F58" s="607">
        <f t="shared" si="163"/>
        <v>0</v>
      </c>
      <c r="G58" s="20">
        <v>2.5</v>
      </c>
      <c r="H58" s="20">
        <f t="shared" ref="H58:H59" si="194">+D58</f>
        <v>0.33300000000000002</v>
      </c>
      <c r="I58" s="21"/>
      <c r="J58" s="81">
        <v>3</v>
      </c>
      <c r="K58" s="103">
        <f t="shared" ref="K58:K59" si="195">+IF(D58=0.667,E58*F58*G58*H58*J58,0)</f>
        <v>0</v>
      </c>
      <c r="L58" s="103">
        <f t="shared" ref="L58:L59" si="196">+IF(D58=0.333,E58*F58*G58*J58,0)</f>
        <v>0</v>
      </c>
      <c r="M58" s="81">
        <v>3</v>
      </c>
      <c r="N58" s="103">
        <f t="shared" ref="N58:N59" si="197">+IF(D58=0.667,E58*F58*G58*H58*M58,0)</f>
        <v>0</v>
      </c>
      <c r="O58" s="103">
        <f t="shared" ref="O58:O59" si="198">+IF(D58=0.333,E58*F58*G58*M58,0)</f>
        <v>0</v>
      </c>
      <c r="P58" s="81"/>
      <c r="Q58" s="103">
        <f t="shared" ref="Q58:Q59" si="199">+IF(D58=0.667,E58*F58*G58*H58*P58,0)</f>
        <v>0</v>
      </c>
      <c r="R58" s="103">
        <f t="shared" ref="R58:R59" si="200">+IF(D58=0.333,E58*F58*G58*P58,0)</f>
        <v>0</v>
      </c>
      <c r="S58" s="104">
        <f t="shared" si="176"/>
        <v>0</v>
      </c>
      <c r="T58" s="104">
        <f t="shared" si="177"/>
        <v>0</v>
      </c>
      <c r="U58" s="18"/>
      <c r="V58" s="26"/>
      <c r="W58" s="21">
        <f>+G58+D58</f>
        <v>2.8330000000000002</v>
      </c>
      <c r="X58" s="21">
        <v>0.5</v>
      </c>
      <c r="Y58" s="21">
        <f>+IF(D58=0.667,-E58*F58*H58*W58*X58,0)</f>
        <v>0</v>
      </c>
      <c r="Z58" s="21">
        <f>+IF(D58=0.333,-E58*F58*H58*W58*X58,0)</f>
        <v>0</v>
      </c>
      <c r="AA58" s="21">
        <f>+F58*G58*H58</f>
        <v>0</v>
      </c>
      <c r="AB58" s="21">
        <f t="shared" ref="AB58:AB59" si="201">2*F58*W58*X58</f>
        <v>0</v>
      </c>
      <c r="AC58" s="27"/>
      <c r="AD58" s="21"/>
      <c r="AE58" s="21">
        <f t="shared" ref="AE58:AE59" si="202">+IF(D58=0.667,AD58*W58*H58*F58,0)</f>
        <v>0</v>
      </c>
      <c r="AF58" s="21">
        <f t="shared" ref="AF58:AF59" si="203">+IF(D58=0.333,AD58*W58*H58*F58,0)</f>
        <v>0</v>
      </c>
      <c r="AG58" s="27"/>
      <c r="AH58" s="396"/>
      <c r="AI58" s="21">
        <f t="shared" ref="AI58:AI59" si="204">+AH58*G58*D58*0.17</f>
        <v>0</v>
      </c>
      <c r="AK58" s="301">
        <f t="shared" si="192"/>
        <v>0</v>
      </c>
      <c r="AL58" s="301">
        <f t="shared" si="193"/>
        <v>0</v>
      </c>
      <c r="AM58" s="301"/>
      <c r="AN58" s="301">
        <f>+IF(D58=0.333,1.33,0)*0</f>
        <v>0</v>
      </c>
      <c r="AO58" s="299"/>
      <c r="AP58" s="301"/>
      <c r="AQ58" s="301"/>
    </row>
    <row r="59" spans="2:43" ht="20.100000000000001" customHeight="1" x14ac:dyDescent="0.3">
      <c r="B59" s="18"/>
      <c r="C59" s="62" t="s">
        <v>341</v>
      </c>
      <c r="D59" s="98">
        <v>0.33300000000000002</v>
      </c>
      <c r="E59" s="607">
        <f>-1*0</f>
        <v>0</v>
      </c>
      <c r="F59" s="607">
        <f t="shared" si="163"/>
        <v>0</v>
      </c>
      <c r="G59" s="20">
        <v>3.25</v>
      </c>
      <c r="H59" s="20">
        <f t="shared" si="194"/>
        <v>0.33300000000000002</v>
      </c>
      <c r="I59" s="21"/>
      <c r="J59" s="81">
        <v>3</v>
      </c>
      <c r="K59" s="103">
        <f t="shared" si="195"/>
        <v>0</v>
      </c>
      <c r="L59" s="103">
        <f t="shared" si="196"/>
        <v>0</v>
      </c>
      <c r="M59" s="81">
        <v>3</v>
      </c>
      <c r="N59" s="103">
        <f t="shared" si="197"/>
        <v>0</v>
      </c>
      <c r="O59" s="103">
        <f t="shared" si="198"/>
        <v>0</v>
      </c>
      <c r="P59" s="81"/>
      <c r="Q59" s="103">
        <f t="shared" si="199"/>
        <v>0</v>
      </c>
      <c r="R59" s="103">
        <f t="shared" si="200"/>
        <v>0</v>
      </c>
      <c r="S59" s="104">
        <f t="shared" si="176"/>
        <v>0</v>
      </c>
      <c r="T59" s="104">
        <f t="shared" si="177"/>
        <v>0</v>
      </c>
      <c r="U59" s="18"/>
      <c r="V59" s="26"/>
      <c r="W59" s="21">
        <f>+G59+D59</f>
        <v>3.5830000000000002</v>
      </c>
      <c r="X59" s="21">
        <v>0.5</v>
      </c>
      <c r="Y59" s="21">
        <f>+IF(D59=0.667,-E59*F59*H59*W59*X59,0)</f>
        <v>0</v>
      </c>
      <c r="Z59" s="21">
        <f>+IF(D59=0.333,-E59*F59*H59*W59*X59,0)</f>
        <v>0</v>
      </c>
      <c r="AA59" s="21">
        <f>+F59*G59*H59</f>
        <v>0</v>
      </c>
      <c r="AB59" s="21">
        <f t="shared" si="201"/>
        <v>0</v>
      </c>
      <c r="AC59" s="27"/>
      <c r="AD59" s="21"/>
      <c r="AE59" s="21">
        <f t="shared" si="202"/>
        <v>0</v>
      </c>
      <c r="AF59" s="21">
        <f t="shared" si="203"/>
        <v>0</v>
      </c>
      <c r="AG59" s="27"/>
      <c r="AH59" s="396"/>
      <c r="AI59" s="21">
        <f t="shared" si="204"/>
        <v>0</v>
      </c>
      <c r="AK59" s="301">
        <f t="shared" si="192"/>
        <v>0</v>
      </c>
      <c r="AL59" s="301">
        <f t="shared" si="193"/>
        <v>0</v>
      </c>
      <c r="AM59" s="301"/>
      <c r="AN59" s="301">
        <f>+IF(D59=0.333,1.33,0)*0</f>
        <v>0</v>
      </c>
      <c r="AO59" s="299"/>
      <c r="AP59" s="301"/>
      <c r="AQ59" s="301"/>
    </row>
    <row r="60" spans="2:43" ht="30" customHeight="1" x14ac:dyDescent="0.3">
      <c r="B60" s="92"/>
      <c r="C60" s="62" t="s">
        <v>342</v>
      </c>
      <c r="D60" s="98">
        <v>0.33300000000000002</v>
      </c>
      <c r="E60" s="607">
        <f>1*0</f>
        <v>0</v>
      </c>
      <c r="F60" s="607">
        <f t="shared" si="163"/>
        <v>0</v>
      </c>
      <c r="G60" s="98">
        <f>(1.47+1.98+4.01+2.135+1.375)*3.281</f>
        <v>35.992570000000001</v>
      </c>
      <c r="H60" s="98">
        <f>+D60</f>
        <v>0.33300000000000002</v>
      </c>
      <c r="I60" s="94">
        <v>2</v>
      </c>
      <c r="J60" s="99">
        <v>3</v>
      </c>
      <c r="K60" s="100">
        <f>+IF(D60=0.667,E60*F60*G60*H60*J60,0)</f>
        <v>0</v>
      </c>
      <c r="L60" s="100">
        <f>+IF(D60=0.333,E60*F60*G60*J60,0)</f>
        <v>0</v>
      </c>
      <c r="M60" s="99">
        <v>4</v>
      </c>
      <c r="N60" s="100">
        <f>+IF(D60=0.667,E60*F60*G60*H60*M60,0)</f>
        <v>0</v>
      </c>
      <c r="O60" s="100">
        <f>+IF(D60=0.333,E60*F60*G60*M60,0)</f>
        <v>0</v>
      </c>
      <c r="P60" s="81">
        <f t="shared" ref="P60" si="205">11.833-I60-M60-J60</f>
        <v>2.8330000000000002</v>
      </c>
      <c r="Q60" s="100">
        <f>+IF(D60=0.667,E60*F60*G60*H60*P60,0)</f>
        <v>0</v>
      </c>
      <c r="R60" s="100">
        <f>+IF(D60=0.333,E60*F60*G60*P60,0)</f>
        <v>0</v>
      </c>
      <c r="S60" s="101">
        <f t="shared" ref="S60:S63" si="206">+Q60+N60+K60</f>
        <v>0</v>
      </c>
      <c r="T60" s="101">
        <f t="shared" ref="T60:T63" si="207">+R60+O60+L60</f>
        <v>0</v>
      </c>
      <c r="U60" s="92"/>
      <c r="V60" s="91"/>
      <c r="W60" s="102"/>
      <c r="X60" s="98"/>
      <c r="Y60" s="102"/>
      <c r="Z60" s="98"/>
      <c r="AA60" s="98"/>
      <c r="AB60" s="98"/>
      <c r="AC60" s="91"/>
      <c r="AD60" s="98"/>
      <c r="AE60" s="98"/>
      <c r="AF60" s="98"/>
      <c r="AG60" s="91"/>
      <c r="AH60" s="415">
        <f>1*0</f>
        <v>0</v>
      </c>
      <c r="AI60" s="299">
        <f>+AH60*G60*D60*0.17</f>
        <v>0</v>
      </c>
      <c r="AK60" s="301">
        <f t="shared" ref="AK60:AK63" si="208">+IF(D60=0.667,E60*F60*G60,0)</f>
        <v>0</v>
      </c>
      <c r="AL60" s="301">
        <f t="shared" ref="AL60:AL62" si="209">+IF(D60=0.333,E60*F60*G60,0)</f>
        <v>0</v>
      </c>
      <c r="AM60" s="301"/>
      <c r="AN60" s="301"/>
      <c r="AO60" s="299"/>
      <c r="AP60" s="301"/>
      <c r="AQ60" s="301"/>
    </row>
    <row r="61" spans="2:43" ht="20.100000000000001" customHeight="1" x14ac:dyDescent="0.3">
      <c r="B61" s="18"/>
      <c r="C61" s="62" t="s">
        <v>337</v>
      </c>
      <c r="D61" s="98">
        <v>0.33300000000000002</v>
      </c>
      <c r="E61" s="607">
        <f>-1*0</f>
        <v>0</v>
      </c>
      <c r="F61" s="607">
        <f>2*0</f>
        <v>0</v>
      </c>
      <c r="G61" s="20">
        <v>2.5</v>
      </c>
      <c r="H61" s="20">
        <f t="shared" ref="H61:H63" si="210">+D61</f>
        <v>0.33300000000000002</v>
      </c>
      <c r="I61" s="21"/>
      <c r="J61" s="81">
        <v>3</v>
      </c>
      <c r="K61" s="103">
        <f t="shared" ref="K61:K63" si="211">+IF(D61=0.667,E61*F61*G61*H61*J61,0)</f>
        <v>0</v>
      </c>
      <c r="L61" s="103">
        <f t="shared" ref="L61:L63" si="212">+IF(D61=0.333,E61*F61*G61*J61,0)</f>
        <v>0</v>
      </c>
      <c r="M61" s="81">
        <v>3</v>
      </c>
      <c r="N61" s="103">
        <f t="shared" ref="N61:N63" si="213">+IF(D61=0.667,E61*F61*G61*H61*M61,0)</f>
        <v>0</v>
      </c>
      <c r="O61" s="103">
        <f t="shared" ref="O61:O63" si="214">+IF(D61=0.333,E61*F61*G61*M61,0)</f>
        <v>0</v>
      </c>
      <c r="P61" s="81"/>
      <c r="Q61" s="103">
        <f t="shared" ref="Q61:Q63" si="215">+IF(D61=0.667,E61*F61*G61*H61*P61,0)</f>
        <v>0</v>
      </c>
      <c r="R61" s="103">
        <f t="shared" ref="R61:R63" si="216">+IF(D61=0.333,E61*F61*G61*P61,0)</f>
        <v>0</v>
      </c>
      <c r="S61" s="104">
        <f t="shared" si="206"/>
        <v>0</v>
      </c>
      <c r="T61" s="104">
        <f t="shared" si="207"/>
        <v>0</v>
      </c>
      <c r="U61" s="18"/>
      <c r="V61" s="26"/>
      <c r="W61" s="225">
        <f>+G61+D61</f>
        <v>2.8330000000000002</v>
      </c>
      <c r="X61" s="225">
        <v>0.5</v>
      </c>
      <c r="Y61" s="225">
        <f>+IF(D61=0.667,-E61*F61*H61*W61*X61,0)</f>
        <v>0</v>
      </c>
      <c r="Z61" s="225">
        <f>+IF(D61=0.333,-E61*F61*H61*W61*X61,0)</f>
        <v>0</v>
      </c>
      <c r="AA61" s="225">
        <f>+F61*G61*H61</f>
        <v>0</v>
      </c>
      <c r="AB61" s="225">
        <f t="shared" ref="AB61:AB63" si="217">2*F61*W61*X61</f>
        <v>0</v>
      </c>
      <c r="AC61" s="27"/>
      <c r="AD61" s="21"/>
      <c r="AE61" s="21">
        <f t="shared" ref="AE61:AE63" si="218">+IF(D61=0.667,AD61*W61*H61*F61,0)</f>
        <v>0</v>
      </c>
      <c r="AF61" s="21">
        <f t="shared" ref="AF61:AF63" si="219">+IF(D61=0.333,AD61*W61*H61*F61,0)</f>
        <v>0</v>
      </c>
      <c r="AG61" s="27"/>
      <c r="AH61" s="396"/>
      <c r="AI61" s="21">
        <f t="shared" ref="AI61:AI63" si="220">+AH61*G61*D61*0.17</f>
        <v>0</v>
      </c>
      <c r="AK61" s="301">
        <f t="shared" si="208"/>
        <v>0</v>
      </c>
      <c r="AL61" s="301">
        <f t="shared" si="209"/>
        <v>0</v>
      </c>
      <c r="AM61" s="301"/>
      <c r="AN61" s="301">
        <f>+IF(D61=0.333,1.33,0)*0</f>
        <v>0</v>
      </c>
      <c r="AO61" s="299"/>
      <c r="AP61" s="301"/>
      <c r="AQ61" s="301"/>
    </row>
    <row r="62" spans="2:43" ht="20.100000000000001" customHeight="1" x14ac:dyDescent="0.3">
      <c r="B62" s="18"/>
      <c r="C62" s="62" t="s">
        <v>341</v>
      </c>
      <c r="D62" s="98">
        <v>0.33300000000000002</v>
      </c>
      <c r="E62" s="607">
        <f>-1*0</f>
        <v>0</v>
      </c>
      <c r="F62" s="607">
        <f>1*0</f>
        <v>0</v>
      </c>
      <c r="G62" s="20">
        <v>3.25</v>
      </c>
      <c r="H62" s="20">
        <f t="shared" si="210"/>
        <v>0.33300000000000002</v>
      </c>
      <c r="I62" s="21"/>
      <c r="J62" s="81">
        <v>3</v>
      </c>
      <c r="K62" s="103">
        <f t="shared" si="211"/>
        <v>0</v>
      </c>
      <c r="L62" s="103">
        <f t="shared" si="212"/>
        <v>0</v>
      </c>
      <c r="M62" s="81">
        <v>3</v>
      </c>
      <c r="N62" s="103">
        <f t="shared" si="213"/>
        <v>0</v>
      </c>
      <c r="O62" s="103">
        <f t="shared" si="214"/>
        <v>0</v>
      </c>
      <c r="P62" s="81"/>
      <c r="Q62" s="103">
        <f t="shared" si="215"/>
        <v>0</v>
      </c>
      <c r="R62" s="103">
        <f t="shared" si="216"/>
        <v>0</v>
      </c>
      <c r="S62" s="104">
        <f t="shared" si="206"/>
        <v>0</v>
      </c>
      <c r="T62" s="104">
        <f t="shared" si="207"/>
        <v>0</v>
      </c>
      <c r="U62" s="18"/>
      <c r="V62" s="26"/>
      <c r="W62" s="225">
        <f>+G62+D62</f>
        <v>3.5830000000000002</v>
      </c>
      <c r="X62" s="225">
        <v>0.5</v>
      </c>
      <c r="Y62" s="225">
        <f>+IF(D62=0.667,-E62*F62*H62*W62*X62,0)</f>
        <v>0</v>
      </c>
      <c r="Z62" s="225">
        <f>+IF(D62=0.333,-E62*F62*H62*W62*X62,0)</f>
        <v>0</v>
      </c>
      <c r="AA62" s="225">
        <f>+F62*G62*H62</f>
        <v>0</v>
      </c>
      <c r="AB62" s="225">
        <f t="shared" si="217"/>
        <v>0</v>
      </c>
      <c r="AC62" s="27"/>
      <c r="AD62" s="21"/>
      <c r="AE62" s="21">
        <f t="shared" si="218"/>
        <v>0</v>
      </c>
      <c r="AF62" s="21">
        <f t="shared" si="219"/>
        <v>0</v>
      </c>
      <c r="AG62" s="27"/>
      <c r="AH62" s="396"/>
      <c r="AI62" s="21">
        <f t="shared" si="220"/>
        <v>0</v>
      </c>
      <c r="AK62" s="301">
        <f t="shared" si="208"/>
        <v>0</v>
      </c>
      <c r="AL62" s="301">
        <f t="shared" si="209"/>
        <v>0</v>
      </c>
      <c r="AM62" s="301"/>
      <c r="AN62" s="301">
        <f>+IF(D62=0.333,1.33,0)*0</f>
        <v>0</v>
      </c>
      <c r="AO62" s="299"/>
      <c r="AP62" s="301"/>
      <c r="AQ62" s="301"/>
    </row>
    <row r="63" spans="2:43" ht="20.100000000000001" customHeight="1" x14ac:dyDescent="0.3">
      <c r="B63" s="18"/>
      <c r="C63" s="62" t="s">
        <v>343</v>
      </c>
      <c r="D63" s="298">
        <v>0.33300000000000002</v>
      </c>
      <c r="E63" s="607">
        <f>1*0</f>
        <v>0</v>
      </c>
      <c r="F63" s="607">
        <f>1*0</f>
        <v>0</v>
      </c>
      <c r="G63" s="20">
        <f>(1.05+1.2)*3.281</f>
        <v>7.38225</v>
      </c>
      <c r="H63" s="20">
        <f t="shared" si="210"/>
        <v>0.33300000000000002</v>
      </c>
      <c r="I63" s="21">
        <v>2</v>
      </c>
      <c r="J63" s="81">
        <v>3</v>
      </c>
      <c r="K63" s="103">
        <f t="shared" si="211"/>
        <v>0</v>
      </c>
      <c r="L63" s="103">
        <f t="shared" si="212"/>
        <v>0</v>
      </c>
      <c r="M63" s="81"/>
      <c r="N63" s="103">
        <f t="shared" si="213"/>
        <v>0</v>
      </c>
      <c r="O63" s="103">
        <f t="shared" si="214"/>
        <v>0</v>
      </c>
      <c r="P63" s="81"/>
      <c r="Q63" s="103">
        <f t="shared" si="215"/>
        <v>0</v>
      </c>
      <c r="R63" s="103">
        <f t="shared" si="216"/>
        <v>0</v>
      </c>
      <c r="S63" s="104">
        <f t="shared" si="206"/>
        <v>0</v>
      </c>
      <c r="T63" s="104">
        <f t="shared" si="207"/>
        <v>0</v>
      </c>
      <c r="U63" s="18"/>
      <c r="V63" s="26"/>
      <c r="W63" s="21"/>
      <c r="X63" s="21"/>
      <c r="Y63" s="21"/>
      <c r="Z63" s="21"/>
      <c r="AA63" s="21"/>
      <c r="AB63" s="21">
        <f t="shared" si="217"/>
        <v>0</v>
      </c>
      <c r="AC63" s="27"/>
      <c r="AD63" s="21"/>
      <c r="AE63" s="21">
        <f t="shared" si="218"/>
        <v>0</v>
      </c>
      <c r="AF63" s="21">
        <f t="shared" si="219"/>
        <v>0</v>
      </c>
      <c r="AG63" s="27"/>
      <c r="AH63" s="415">
        <f>1*0</f>
        <v>0</v>
      </c>
      <c r="AI63" s="21">
        <f t="shared" si="220"/>
        <v>0</v>
      </c>
      <c r="AK63" s="301">
        <f t="shared" si="208"/>
        <v>0</v>
      </c>
      <c r="AL63" s="301"/>
      <c r="AM63" s="301"/>
      <c r="AN63" s="301"/>
      <c r="AO63" s="299">
        <f>+E63*F63*G63</f>
        <v>0</v>
      </c>
      <c r="AP63" s="301"/>
      <c r="AQ63" s="301"/>
    </row>
    <row r="64" spans="2:43" ht="24.75" customHeight="1" x14ac:dyDescent="0.3">
      <c r="B64" s="18"/>
      <c r="C64" s="62" t="s">
        <v>344</v>
      </c>
      <c r="D64" s="298">
        <v>0.33300000000000002</v>
      </c>
      <c r="E64" s="607">
        <f>1*0</f>
        <v>0</v>
      </c>
      <c r="F64" s="607">
        <f>1*0</f>
        <v>0</v>
      </c>
      <c r="G64" s="20">
        <f>(1.37+1.05+1.05+1.05)*3.281</f>
        <v>14.830119999999999</v>
      </c>
      <c r="H64" s="20">
        <f t="shared" ref="H64" si="221">+D64</f>
        <v>0.33300000000000002</v>
      </c>
      <c r="I64" s="21">
        <v>2</v>
      </c>
      <c r="J64" s="81">
        <v>3</v>
      </c>
      <c r="K64" s="103">
        <f t="shared" ref="K64" si="222">+IF(D64=0.667,E64*F64*G64*H64*J64,0)</f>
        <v>0</v>
      </c>
      <c r="L64" s="103">
        <f t="shared" ref="L64" si="223">+IF(D64=0.333,E64*F64*G64*J64,0)</f>
        <v>0</v>
      </c>
      <c r="M64" s="81"/>
      <c r="N64" s="103">
        <f t="shared" ref="N64" si="224">+IF(D64=0.667,E64*F64*G64*H64*M64,0)</f>
        <v>0</v>
      </c>
      <c r="O64" s="103">
        <f t="shared" ref="O64" si="225">+IF(D64=0.333,E64*F64*G64*M64,0)</f>
        <v>0</v>
      </c>
      <c r="P64" s="81"/>
      <c r="Q64" s="103">
        <f t="shared" ref="Q64" si="226">+IF(D64=0.667,E64*F64*G64*H64*P64,0)</f>
        <v>0</v>
      </c>
      <c r="R64" s="103">
        <f t="shared" ref="R64" si="227">+IF(D64=0.333,E64*F64*G64*P64,0)</f>
        <v>0</v>
      </c>
      <c r="S64" s="104">
        <f t="shared" ref="S64" si="228">+Q64+N64+K64</f>
        <v>0</v>
      </c>
      <c r="T64" s="104">
        <f t="shared" ref="T64" si="229">+R64+O64+L64</f>
        <v>0</v>
      </c>
      <c r="U64" s="18"/>
      <c r="V64" s="26"/>
      <c r="W64" s="21"/>
      <c r="X64" s="21"/>
      <c r="Y64" s="21"/>
      <c r="Z64" s="21"/>
      <c r="AA64" s="21"/>
      <c r="AB64" s="21">
        <f t="shared" ref="AB64" si="230">2*F64*W64*X64</f>
        <v>0</v>
      </c>
      <c r="AC64" s="27"/>
      <c r="AD64" s="21"/>
      <c r="AE64" s="21">
        <f t="shared" ref="AE64" si="231">+IF(D64=0.667,AD64*W64*H64*F64,0)</f>
        <v>0</v>
      </c>
      <c r="AF64" s="21">
        <f t="shared" ref="AF64" si="232">+IF(D64=0.333,AD64*W64*H64*F64,0)</f>
        <v>0</v>
      </c>
      <c r="AG64" s="27"/>
      <c r="AH64" s="415">
        <f>1*0</f>
        <v>0</v>
      </c>
      <c r="AI64" s="21">
        <f t="shared" ref="AI64" si="233">+AH64*G64*D64*0.17</f>
        <v>0</v>
      </c>
      <c r="AK64" s="301">
        <f t="shared" ref="AK64" si="234">+IF(D64=0.667,E64*F64*G64,0)</f>
        <v>0</v>
      </c>
      <c r="AL64" s="301"/>
      <c r="AM64" s="301"/>
      <c r="AN64" s="301"/>
      <c r="AO64" s="299">
        <f>+E64*F64*G64</f>
        <v>0</v>
      </c>
      <c r="AP64" s="301"/>
      <c r="AQ64" s="301"/>
    </row>
    <row r="65" spans="2:43" ht="20.100000000000001" customHeight="1" x14ac:dyDescent="0.3">
      <c r="B65" s="369"/>
      <c r="C65" s="395"/>
      <c r="D65" s="371"/>
      <c r="E65" s="369"/>
      <c r="F65" s="369"/>
      <c r="G65" s="371"/>
      <c r="H65" s="371"/>
      <c r="I65" s="372"/>
      <c r="J65" s="371"/>
      <c r="K65" s="371"/>
      <c r="L65" s="371"/>
      <c r="M65" s="371"/>
      <c r="N65" s="371"/>
      <c r="O65" s="371"/>
      <c r="P65" s="371"/>
      <c r="Q65" s="371"/>
      <c r="R65" s="371"/>
      <c r="S65" s="371"/>
      <c r="T65" s="371"/>
      <c r="U65" s="369"/>
      <c r="V65" s="370"/>
      <c r="W65" s="372"/>
      <c r="X65" s="371"/>
      <c r="Y65" s="372"/>
      <c r="Z65" s="371"/>
      <c r="AA65" s="371"/>
      <c r="AB65" s="371"/>
      <c r="AC65" s="370"/>
      <c r="AD65" s="371"/>
      <c r="AE65" s="371"/>
      <c r="AF65" s="371"/>
      <c r="AG65" s="370"/>
      <c r="AH65" s="693"/>
      <c r="AI65" s="372"/>
      <c r="AK65" s="377"/>
      <c r="AL65" s="377"/>
      <c r="AM65" s="377"/>
      <c r="AN65" s="377"/>
      <c r="AO65" s="372"/>
      <c r="AP65" s="377"/>
      <c r="AQ65" s="377"/>
    </row>
    <row r="66" spans="2:43" ht="27" customHeight="1" x14ac:dyDescent="0.3">
      <c r="B66" s="92">
        <v>3</v>
      </c>
      <c r="C66" s="93" t="s">
        <v>346</v>
      </c>
      <c r="D66" s="92"/>
      <c r="E66" s="92"/>
      <c r="F66" s="92"/>
      <c r="G66" s="92"/>
      <c r="H66" s="92"/>
      <c r="I66" s="94"/>
      <c r="J66" s="92"/>
      <c r="K66" s="92"/>
      <c r="L66" s="92"/>
      <c r="M66" s="92"/>
      <c r="N66" s="92"/>
      <c r="O66" s="92"/>
      <c r="P66" s="92"/>
      <c r="Q66" s="92"/>
      <c r="R66" s="92"/>
      <c r="S66" s="92"/>
      <c r="T66" s="92"/>
      <c r="U66" s="92"/>
      <c r="V66" s="95"/>
      <c r="W66" s="92"/>
      <c r="X66" s="92"/>
      <c r="Y66" s="92"/>
      <c r="Z66" s="92"/>
      <c r="AA66" s="92"/>
      <c r="AB66" s="92"/>
      <c r="AC66" s="95"/>
      <c r="AD66" s="92"/>
      <c r="AE66" s="92"/>
      <c r="AF66" s="92"/>
      <c r="AG66" s="95"/>
      <c r="AH66" s="460"/>
      <c r="AI66" s="301"/>
      <c r="AK66" s="301"/>
      <c r="AL66" s="301"/>
      <c r="AM66" s="301"/>
      <c r="AN66" s="301"/>
      <c r="AO66" s="299"/>
      <c r="AP66" s="301"/>
      <c r="AQ66" s="301"/>
    </row>
    <row r="67" spans="2:43" ht="20.100000000000001" customHeight="1" x14ac:dyDescent="0.3">
      <c r="B67" s="92"/>
      <c r="C67" s="62" t="s">
        <v>33</v>
      </c>
      <c r="D67" s="98">
        <v>0.33300000000000002</v>
      </c>
      <c r="E67" s="415">
        <f>1*0</f>
        <v>0</v>
      </c>
      <c r="F67" s="415">
        <f>1*0</f>
        <v>0</v>
      </c>
      <c r="G67" s="98">
        <f>(3.361+3.492)*3.281</f>
        <v>22.484693</v>
      </c>
      <c r="H67" s="98">
        <f>+D67</f>
        <v>0.33300000000000002</v>
      </c>
      <c r="I67" s="94">
        <v>2</v>
      </c>
      <c r="J67" s="99">
        <v>3</v>
      </c>
      <c r="K67" s="100">
        <f>+IF(D67=0.667,E67*F67*G67*H67*J67,0)</f>
        <v>0</v>
      </c>
      <c r="L67" s="100">
        <f>+IF(D67=0.333,E67*F67*G67*J67,0)</f>
        <v>0</v>
      </c>
      <c r="M67" s="99">
        <v>4</v>
      </c>
      <c r="N67" s="100">
        <f>+IF(D67=0.667,E67*F67*G67*H67*M67,0)</f>
        <v>0</v>
      </c>
      <c r="O67" s="100">
        <f>+IF(D67=0.333,E67*F67*G67*M67,0)</f>
        <v>0</v>
      </c>
      <c r="P67" s="81">
        <f t="shared" ref="P67" si="235">11.833-I67-M67-J67</f>
        <v>2.8330000000000002</v>
      </c>
      <c r="Q67" s="100">
        <f>+IF(D67=0.667,E67*F67*G67*H67*P67,0)</f>
        <v>0</v>
      </c>
      <c r="R67" s="100">
        <f>+IF(D67=0.333,E67*F67*G67*P67,0)</f>
        <v>0</v>
      </c>
      <c r="S67" s="101">
        <f t="shared" ref="S67:S68" si="236">+Q67+N67+K67</f>
        <v>0</v>
      </c>
      <c r="T67" s="101">
        <f t="shared" ref="T67:T68" si="237">+R67+O67+L67</f>
        <v>0</v>
      </c>
      <c r="U67" s="92"/>
      <c r="V67" s="91"/>
      <c r="W67" s="102"/>
      <c r="X67" s="98"/>
      <c r="Y67" s="102"/>
      <c r="Z67" s="98"/>
      <c r="AA67" s="98"/>
      <c r="AB67" s="98"/>
      <c r="AC67" s="91"/>
      <c r="AD67" s="98"/>
      <c r="AE67" s="98"/>
      <c r="AF67" s="98"/>
      <c r="AG67" s="91"/>
      <c r="AH67" s="415">
        <f>1*0</f>
        <v>0</v>
      </c>
      <c r="AI67" s="299">
        <f>+AH67*G67*D67*0.17</f>
        <v>0</v>
      </c>
      <c r="AK67" s="301">
        <f t="shared" ref="AK67:AK68" si="238">+IF(D67=0.667,E67*F67*G67,0)</f>
        <v>0</v>
      </c>
      <c r="AL67" s="301">
        <f t="shared" ref="AL67:AL68" si="239">+IF(D67=0.333,E67*F67*G67,0)</f>
        <v>0</v>
      </c>
      <c r="AM67" s="301"/>
      <c r="AN67" s="301"/>
      <c r="AO67" s="299"/>
      <c r="AP67" s="301"/>
      <c r="AQ67" s="301"/>
    </row>
    <row r="68" spans="2:43" ht="20.100000000000001" customHeight="1" x14ac:dyDescent="0.3">
      <c r="B68" s="18"/>
      <c r="C68" s="62" t="s">
        <v>34</v>
      </c>
      <c r="D68" s="98">
        <v>0.33300000000000002</v>
      </c>
      <c r="E68" s="607">
        <f>-1*0</f>
        <v>0</v>
      </c>
      <c r="F68" s="607">
        <f>2*0</f>
        <v>0</v>
      </c>
      <c r="G68" s="20">
        <v>3.25</v>
      </c>
      <c r="H68" s="20">
        <f t="shared" ref="H68" si="240">+D68</f>
        <v>0.33300000000000002</v>
      </c>
      <c r="I68" s="21"/>
      <c r="J68" s="81">
        <v>3</v>
      </c>
      <c r="K68" s="103">
        <f t="shared" ref="K68" si="241">+IF(D68=0.667,E68*F68*G68*H68*J68,0)</f>
        <v>0</v>
      </c>
      <c r="L68" s="103">
        <f t="shared" ref="L68" si="242">+IF(D68=0.333,E68*F68*G68*J68,0)</f>
        <v>0</v>
      </c>
      <c r="M68" s="81">
        <v>4</v>
      </c>
      <c r="N68" s="103">
        <f t="shared" ref="N68" si="243">+IF(D68=0.667,E68*F68*G68*H68*M68,0)</f>
        <v>0</v>
      </c>
      <c r="O68" s="103">
        <f t="shared" ref="O68" si="244">+IF(D68=0.333,E68*F68*G68*M68,0)</f>
        <v>0</v>
      </c>
      <c r="P68" s="81"/>
      <c r="Q68" s="103">
        <f t="shared" ref="Q68" si="245">+IF(D68=0.667,E68*F68*G68*H68*P68,0)</f>
        <v>0</v>
      </c>
      <c r="R68" s="103">
        <f t="shared" ref="R68" si="246">+IF(D68=0.333,E68*F68*G68*P68,0)</f>
        <v>0</v>
      </c>
      <c r="S68" s="104">
        <f t="shared" si="236"/>
        <v>0</v>
      </c>
      <c r="T68" s="104">
        <f t="shared" si="237"/>
        <v>0</v>
      </c>
      <c r="U68" s="18"/>
      <c r="V68" s="26"/>
      <c r="W68" s="21">
        <f>+G68+D68</f>
        <v>3.5830000000000002</v>
      </c>
      <c r="X68" s="21">
        <v>0.5</v>
      </c>
      <c r="Y68" s="21">
        <f>+IF(D68=0.667,-E68*F68*H68*W68*X68,0)</f>
        <v>0</v>
      </c>
      <c r="Z68" s="21">
        <f>+IF(D68=0.333,-E68*F68*H68*W68*X68,0)</f>
        <v>0</v>
      </c>
      <c r="AA68" s="21">
        <f>+F68*G68*H68</f>
        <v>0</v>
      </c>
      <c r="AB68" s="21">
        <f t="shared" ref="AB68" si="247">2*F68*W68*X68</f>
        <v>0</v>
      </c>
      <c r="AC68" s="27"/>
      <c r="AD68" s="21"/>
      <c r="AE68" s="21">
        <f t="shared" ref="AE68" si="248">+IF(D68=0.667,AD68*W68*H68*F68,0)</f>
        <v>0</v>
      </c>
      <c r="AF68" s="21">
        <f t="shared" ref="AF68" si="249">+IF(D68=0.333,AD68*W68*H68*F68,0)</f>
        <v>0</v>
      </c>
      <c r="AG68" s="27"/>
      <c r="AH68" s="396"/>
      <c r="AI68" s="21">
        <f t="shared" ref="AI68" si="250">+AH68*G68*D68*0.17</f>
        <v>0</v>
      </c>
      <c r="AK68" s="301">
        <f t="shared" si="238"/>
        <v>0</v>
      </c>
      <c r="AL68" s="301">
        <f t="shared" si="239"/>
        <v>0</v>
      </c>
      <c r="AM68" s="301"/>
      <c r="AN68" s="301">
        <f>+IF(D68=0.333,1.33,0)*0</f>
        <v>0</v>
      </c>
      <c r="AO68" s="299"/>
      <c r="AP68" s="301"/>
      <c r="AQ68" s="301"/>
    </row>
    <row r="69" spans="2:43" ht="20.100000000000001" customHeight="1" x14ac:dyDescent="0.3">
      <c r="B69" s="92"/>
      <c r="C69" s="62" t="s">
        <v>31</v>
      </c>
      <c r="D69" s="98">
        <v>0.66700000000000004</v>
      </c>
      <c r="E69" s="92">
        <f>1*0</f>
        <v>0</v>
      </c>
      <c r="F69" s="92">
        <f>1*0</f>
        <v>0</v>
      </c>
      <c r="G69" s="98">
        <f>(5.343+4.522)*3.281</f>
        <v>32.367065000000004</v>
      </c>
      <c r="H69" s="98">
        <f>+D69</f>
        <v>0.66700000000000004</v>
      </c>
      <c r="I69" s="94">
        <v>2</v>
      </c>
      <c r="J69" s="99">
        <v>3</v>
      </c>
      <c r="K69" s="100">
        <f>+IF(D69=0.667,E69*F69*G69*H69*J69,0)</f>
        <v>0</v>
      </c>
      <c r="L69" s="100">
        <f>+IF(D69=0.333,E69*F69*G69*J69,0)</f>
        <v>0</v>
      </c>
      <c r="M69" s="99">
        <v>4</v>
      </c>
      <c r="N69" s="100">
        <f>+IF(D69=0.667,E69*F69*G69*H69*M69,0)</f>
        <v>0</v>
      </c>
      <c r="O69" s="100">
        <f>+IF(D69=0.333,E69*F69*G69*M69,0)</f>
        <v>0</v>
      </c>
      <c r="P69" s="81">
        <f t="shared" ref="P69:P70" si="251">11.833-I69-M69-J69</f>
        <v>2.8330000000000002</v>
      </c>
      <c r="Q69" s="100">
        <f>+IF(D69=0.667,E69*F69*G69*H69*P69,0)</f>
        <v>0</v>
      </c>
      <c r="R69" s="100">
        <f>+IF(D69=0.333,E69*F69*G69*P69,0)</f>
        <v>0</v>
      </c>
      <c r="S69" s="101">
        <f t="shared" ref="S69" si="252">+Q69+N69+K69</f>
        <v>0</v>
      </c>
      <c r="T69" s="101">
        <f t="shared" ref="T69" si="253">+R69+O69+L69</f>
        <v>0</v>
      </c>
      <c r="U69" s="92"/>
      <c r="V69" s="91"/>
      <c r="W69" s="102"/>
      <c r="X69" s="98"/>
      <c r="Y69" s="102"/>
      <c r="Z69" s="98"/>
      <c r="AA69" s="98"/>
      <c r="AB69" s="98"/>
      <c r="AC69" s="91"/>
      <c r="AD69" s="98"/>
      <c r="AE69" s="98"/>
      <c r="AF69" s="98"/>
      <c r="AG69" s="91"/>
      <c r="AH69" s="415">
        <f>1*0</f>
        <v>0</v>
      </c>
      <c r="AI69" s="299">
        <f>+AH69*G69*D69*0.17</f>
        <v>0</v>
      </c>
      <c r="AK69" s="301">
        <f t="shared" ref="AK69" si="254">+IF(D69=0.667,E69*F69*G69,0)</f>
        <v>0</v>
      </c>
      <c r="AL69" s="301">
        <f t="shared" ref="AL69" si="255">+IF(D69=0.333,E69*F69*G69,0)</f>
        <v>0</v>
      </c>
      <c r="AM69" s="301"/>
      <c r="AN69" s="301"/>
      <c r="AO69" s="299"/>
      <c r="AP69" s="301"/>
      <c r="AQ69" s="301"/>
    </row>
    <row r="70" spans="2:43" ht="20.100000000000001" customHeight="1" x14ac:dyDescent="0.3">
      <c r="B70" s="92"/>
      <c r="C70" s="62" t="s">
        <v>32</v>
      </c>
      <c r="D70" s="98">
        <v>0.66700000000000004</v>
      </c>
      <c r="E70" s="92">
        <v>1</v>
      </c>
      <c r="F70" s="92">
        <v>1</v>
      </c>
      <c r="G70" s="675">
        <f>(3.161+3.384)*3.281</f>
        <v>21.474145</v>
      </c>
      <c r="H70" s="98">
        <f>+D70</f>
        <v>0.66700000000000004</v>
      </c>
      <c r="I70" s="94">
        <v>2</v>
      </c>
      <c r="J70" s="99">
        <v>3</v>
      </c>
      <c r="K70" s="100">
        <f>+IF(D70=0.667,E70*F70*G70*H70*J70,0)</f>
        <v>42.969764144999999</v>
      </c>
      <c r="L70" s="100">
        <f>+IF(D70=0.333,E70*F70*G70*J70,0)</f>
        <v>0</v>
      </c>
      <c r="M70" s="99">
        <v>4</v>
      </c>
      <c r="N70" s="100">
        <f>+IF(D70=0.667,E70*F70*G70*H70*M70,0)</f>
        <v>57.293018860000004</v>
      </c>
      <c r="O70" s="100">
        <f>+IF(D70=0.333,E70*F70*G70*M70,0)</f>
        <v>0</v>
      </c>
      <c r="P70" s="81">
        <f t="shared" si="251"/>
        <v>2.8330000000000002</v>
      </c>
      <c r="Q70" s="100">
        <f>+IF(D70=0.667,E70*F70*G70*H70*P70,0)</f>
        <v>40.577780607595002</v>
      </c>
      <c r="R70" s="100">
        <f>+IF(D70=0.333,E70*F70*G70*P70,0)</f>
        <v>0</v>
      </c>
      <c r="S70" s="101">
        <f t="shared" ref="S70:S73" si="256">+Q70+N70+K70</f>
        <v>140.84056361259502</v>
      </c>
      <c r="T70" s="101">
        <f t="shared" ref="T70:T73" si="257">+R70+O70+L70</f>
        <v>0</v>
      </c>
      <c r="U70" s="92"/>
      <c r="V70" s="91"/>
      <c r="W70" s="102"/>
      <c r="X70" s="98"/>
      <c r="Y70" s="102"/>
      <c r="Z70" s="98"/>
      <c r="AA70" s="98"/>
      <c r="AB70" s="98"/>
      <c r="AC70" s="91"/>
      <c r="AD70" s="98"/>
      <c r="AE70" s="98"/>
      <c r="AF70" s="98"/>
      <c r="AG70" s="91"/>
      <c r="AH70" s="460">
        <v>1</v>
      </c>
      <c r="AI70" s="299">
        <f>+AH70*G70*D70*0.17</f>
        <v>2.4349533015500002</v>
      </c>
      <c r="AK70" s="301">
        <f t="shared" ref="AK70" si="258">+IF(D70=0.667,E70*F70*G70,0)</f>
        <v>21.474145</v>
      </c>
      <c r="AL70" s="301">
        <f t="shared" ref="AL70" si="259">+IF(D70=0.333,E70*F70*G70,0)</f>
        <v>0</v>
      </c>
      <c r="AM70" s="301"/>
      <c r="AN70" s="301"/>
      <c r="AO70" s="299"/>
      <c r="AP70" s="301"/>
      <c r="AQ70" s="301"/>
    </row>
    <row r="71" spans="2:43" ht="20.100000000000001" customHeight="1" x14ac:dyDescent="0.3">
      <c r="B71" s="18"/>
      <c r="C71" s="62" t="s">
        <v>48</v>
      </c>
      <c r="D71" s="298">
        <v>0.66700000000000004</v>
      </c>
      <c r="E71" s="18">
        <v>-1</v>
      </c>
      <c r="F71" s="18">
        <v>2</v>
      </c>
      <c r="G71" s="675">
        <v>5</v>
      </c>
      <c r="H71" s="20">
        <f t="shared" ref="H71" si="260">+D71</f>
        <v>0.66700000000000004</v>
      </c>
      <c r="I71" s="21"/>
      <c r="J71" s="81"/>
      <c r="K71" s="103">
        <f t="shared" ref="K71" si="261">+IF(D71=0.667,E71*F71*G71*H71*J71,0)</f>
        <v>0</v>
      </c>
      <c r="L71" s="103">
        <f t="shared" ref="L71" si="262">+IF(D71=0.333,E71*F71*G71*J71,0)</f>
        <v>0</v>
      </c>
      <c r="M71" s="81">
        <v>2.25</v>
      </c>
      <c r="N71" s="103">
        <f t="shared" ref="N71" si="263">+IF(D71=0.667,E71*F71*G71*H71*M71,0)</f>
        <v>-15.0075</v>
      </c>
      <c r="O71" s="103">
        <f t="shared" ref="O71" si="264">+IF(D71=0.333,E71*F71*G71*M71,0)</f>
        <v>0</v>
      </c>
      <c r="P71" s="81"/>
      <c r="Q71" s="103">
        <f t="shared" ref="Q71" si="265">+IF(D71=0.667,E71*F71*G71*H71*P71,0)</f>
        <v>0</v>
      </c>
      <c r="R71" s="103">
        <f t="shared" ref="R71" si="266">+IF(D71=0.333,E71*F71*G71*P71,0)</f>
        <v>0</v>
      </c>
      <c r="S71" s="104">
        <f t="shared" si="256"/>
        <v>-15.0075</v>
      </c>
      <c r="T71" s="104">
        <f t="shared" si="257"/>
        <v>0</v>
      </c>
      <c r="U71" s="18"/>
      <c r="V71" s="26"/>
      <c r="W71" s="225">
        <f>+G71+D71</f>
        <v>5.6669999999999998</v>
      </c>
      <c r="X71" s="225">
        <v>0.5</v>
      </c>
      <c r="Y71" s="225">
        <f>+IF(D71=0.667,-E71*F71*H71*W71*X71,0)</f>
        <v>3.7798890000000003</v>
      </c>
      <c r="Z71" s="225">
        <f>+IF(D71=0.333,-E71*F71*H71*W71*X71,0)</f>
        <v>0</v>
      </c>
      <c r="AA71" s="225">
        <f>+F71*G71*H71</f>
        <v>6.67</v>
      </c>
      <c r="AB71" s="225">
        <f t="shared" ref="AB71" si="267">2*F71*W71*X71</f>
        <v>11.334</v>
      </c>
      <c r="AC71" s="27"/>
      <c r="AD71" s="21">
        <v>0.16700000000000001</v>
      </c>
      <c r="AE71" s="21">
        <f t="shared" ref="AE71" si="268">+IF(D71=0.667,AD71*W71*H71*F71,0)</f>
        <v>1.2624829260000001</v>
      </c>
      <c r="AF71" s="21">
        <f t="shared" ref="AF71" si="269">+IF(D71=0.333,AD71*W71*H71*F71,0)</f>
        <v>0</v>
      </c>
      <c r="AG71" s="27"/>
      <c r="AH71" s="396"/>
      <c r="AI71" s="21">
        <f t="shared" ref="AI71" si="270">+AH71*G71*D71*0.17</f>
        <v>0</v>
      </c>
      <c r="AK71" s="301"/>
      <c r="AL71" s="301"/>
      <c r="AM71" s="301"/>
      <c r="AN71" s="301"/>
      <c r="AO71" s="299"/>
      <c r="AP71" s="301"/>
      <c r="AQ71" s="301"/>
    </row>
    <row r="72" spans="2:43" ht="20.100000000000001" customHeight="1" x14ac:dyDescent="0.3">
      <c r="B72" s="92"/>
      <c r="C72" s="62" t="s">
        <v>38</v>
      </c>
      <c r="D72" s="98">
        <v>0.33300000000000002</v>
      </c>
      <c r="E72" s="415">
        <f t="shared" ref="E72:F74" si="271">1*0</f>
        <v>0</v>
      </c>
      <c r="F72" s="415">
        <f t="shared" si="271"/>
        <v>0</v>
      </c>
      <c r="G72" s="98">
        <f>(11.84)*3.281</f>
        <v>38.84704</v>
      </c>
      <c r="H72" s="98">
        <f>+D72</f>
        <v>0.33300000000000002</v>
      </c>
      <c r="I72" s="94">
        <v>2</v>
      </c>
      <c r="J72" s="99">
        <v>3</v>
      </c>
      <c r="K72" s="100">
        <f>+IF(D72=0.667,E72*F72*G72*H72*J72,0)</f>
        <v>0</v>
      </c>
      <c r="L72" s="100">
        <f>+IF(D72=0.333,E72*F72*G72*J72,0)</f>
        <v>0</v>
      </c>
      <c r="M72" s="99">
        <v>4</v>
      </c>
      <c r="N72" s="100">
        <f>+IF(D72=0.667,E72*F72*G72*H72*M72,0)</f>
        <v>0</v>
      </c>
      <c r="O72" s="100">
        <f>+IF(D72=0.333,E72*F72*G72*M72,0)</f>
        <v>0</v>
      </c>
      <c r="P72" s="81">
        <f t="shared" ref="P72:P74" si="272">11.833-I72-M72-J72</f>
        <v>2.8330000000000002</v>
      </c>
      <c r="Q72" s="100">
        <f>+IF(D72=0.667,E72*F72*G72*H72*P72,0)</f>
        <v>0</v>
      </c>
      <c r="R72" s="100">
        <f>+IF(D72=0.333,E72*F72*G72*P72,0)</f>
        <v>0</v>
      </c>
      <c r="S72" s="101">
        <f t="shared" si="256"/>
        <v>0</v>
      </c>
      <c r="T72" s="101">
        <f t="shared" si="257"/>
        <v>0</v>
      </c>
      <c r="U72" s="92"/>
      <c r="V72" s="91"/>
      <c r="W72" s="102"/>
      <c r="X72" s="98"/>
      <c r="Y72" s="102"/>
      <c r="Z72" s="98"/>
      <c r="AA72" s="98"/>
      <c r="AB72" s="98"/>
      <c r="AC72" s="91"/>
      <c r="AD72" s="98"/>
      <c r="AE72" s="98"/>
      <c r="AF72" s="98"/>
      <c r="AG72" s="91"/>
      <c r="AH72" s="415">
        <f>1*0</f>
        <v>0</v>
      </c>
      <c r="AI72" s="299">
        <f>+AH72*G72*D72*0.17</f>
        <v>0</v>
      </c>
      <c r="AK72" s="301">
        <f t="shared" ref="AK72:AK73" si="273">+IF(D72=0.667,E72*F72*G72,0)</f>
        <v>0</v>
      </c>
      <c r="AL72" s="301">
        <f t="shared" ref="AL72:AL73" si="274">+IF(D72=0.333,E72*F72*G72,0)</f>
        <v>0</v>
      </c>
      <c r="AM72" s="301"/>
      <c r="AN72" s="301"/>
      <c r="AO72" s="299"/>
      <c r="AP72" s="301"/>
      <c r="AQ72" s="301"/>
    </row>
    <row r="73" spans="2:43" ht="28.5" customHeight="1" x14ac:dyDescent="0.3">
      <c r="B73" s="92"/>
      <c r="C73" s="62" t="s">
        <v>339</v>
      </c>
      <c r="D73" s="98">
        <v>0.66700000000000004</v>
      </c>
      <c r="E73" s="415">
        <f t="shared" si="271"/>
        <v>0</v>
      </c>
      <c r="F73" s="415">
        <f t="shared" si="271"/>
        <v>0</v>
      </c>
      <c r="G73" s="98">
        <f>(5.343+2.754)*3.281</f>
        <v>26.566257</v>
      </c>
      <c r="H73" s="98">
        <f>+D73</f>
        <v>0.66700000000000004</v>
      </c>
      <c r="I73" s="94">
        <v>2</v>
      </c>
      <c r="J73" s="99">
        <v>3</v>
      </c>
      <c r="K73" s="100">
        <f>+IF(D73=0.667,E73*F73*G73*H73*J73,0)</f>
        <v>0</v>
      </c>
      <c r="L73" s="100">
        <f>+IF(D73=0.333,E73*F73*G73*J73,0)</f>
        <v>0</v>
      </c>
      <c r="M73" s="99">
        <v>4</v>
      </c>
      <c r="N73" s="100">
        <f>+IF(D73=0.667,E73*F73*G73*H73*M73,0)</f>
        <v>0</v>
      </c>
      <c r="O73" s="100">
        <f>+IF(D73=0.333,E73*F73*G73*M73,0)</f>
        <v>0</v>
      </c>
      <c r="P73" s="81">
        <f t="shared" si="272"/>
        <v>2.8330000000000002</v>
      </c>
      <c r="Q73" s="100">
        <f>+IF(D73=0.667,E73*F73*G73*H73*P73,0)</f>
        <v>0</v>
      </c>
      <c r="R73" s="100">
        <f>+IF(D73=0.333,E73*F73*G73*P73,0)</f>
        <v>0</v>
      </c>
      <c r="S73" s="101">
        <f t="shared" si="256"/>
        <v>0</v>
      </c>
      <c r="T73" s="101">
        <f t="shared" si="257"/>
        <v>0</v>
      </c>
      <c r="U73" s="92"/>
      <c r="V73" s="91"/>
      <c r="W73" s="102"/>
      <c r="X73" s="98"/>
      <c r="Y73" s="102"/>
      <c r="Z73" s="98"/>
      <c r="AA73" s="98"/>
      <c r="AB73" s="98"/>
      <c r="AC73" s="91"/>
      <c r="AD73" s="98"/>
      <c r="AE73" s="98"/>
      <c r="AF73" s="98"/>
      <c r="AG73" s="91"/>
      <c r="AH73" s="415">
        <f>1*0</f>
        <v>0</v>
      </c>
      <c r="AI73" s="299">
        <f>+AH73*G73*D73*0.17</f>
        <v>0</v>
      </c>
      <c r="AK73" s="301">
        <f t="shared" si="273"/>
        <v>0</v>
      </c>
      <c r="AL73" s="301">
        <f t="shared" si="274"/>
        <v>0</v>
      </c>
      <c r="AM73" s="301"/>
      <c r="AN73" s="301"/>
      <c r="AO73" s="299"/>
      <c r="AP73" s="301"/>
      <c r="AQ73" s="301"/>
    </row>
    <row r="74" spans="2:43" ht="20.100000000000001" customHeight="1" x14ac:dyDescent="0.3">
      <c r="B74" s="18"/>
      <c r="C74" s="62" t="s">
        <v>43</v>
      </c>
      <c r="D74" s="298">
        <v>0.66700000000000004</v>
      </c>
      <c r="E74" s="415">
        <f t="shared" si="271"/>
        <v>0</v>
      </c>
      <c r="F74" s="415">
        <f t="shared" si="271"/>
        <v>0</v>
      </c>
      <c r="G74" s="20">
        <f>(1.705+264+1.88)*3.281</f>
        <v>877.94638499999996</v>
      </c>
      <c r="H74" s="20">
        <f>+D74</f>
        <v>0.66700000000000004</v>
      </c>
      <c r="I74" s="21">
        <v>2</v>
      </c>
      <c r="J74" s="81">
        <v>3</v>
      </c>
      <c r="K74" s="103">
        <f>+IF(D74=0.667,E74*F74*G74*H74*J74,0)</f>
        <v>0</v>
      </c>
      <c r="L74" s="103">
        <f>+IF(D74=0.333,E74*F74*G74*J74,0)</f>
        <v>0</v>
      </c>
      <c r="M74" s="81">
        <v>4</v>
      </c>
      <c r="N74" s="103">
        <f>+IF(D74=0.667,E74*F74*G74*H74*M74,0)</f>
        <v>0</v>
      </c>
      <c r="O74" s="103">
        <f>+IF(D74=0.333,E74*F74*G74*M74,0)</f>
        <v>0</v>
      </c>
      <c r="P74" s="81">
        <f t="shared" si="272"/>
        <v>2.8330000000000002</v>
      </c>
      <c r="Q74" s="103">
        <f>+IF(D74=0.667,E74*F74*G74*H74*P74,0)</f>
        <v>0</v>
      </c>
      <c r="R74" s="103">
        <f>+IF(D74=0.333,E74*F74*G74*P74,0)</f>
        <v>0</v>
      </c>
      <c r="S74" s="104">
        <f t="shared" ref="S74:S76" si="275">+Q74+N74+K74</f>
        <v>0</v>
      </c>
      <c r="T74" s="104">
        <f t="shared" ref="T74:T76" si="276">+R74+O74+L74</f>
        <v>0</v>
      </c>
      <c r="U74" s="18"/>
      <c r="V74" s="26"/>
      <c r="W74" s="21"/>
      <c r="X74" s="21"/>
      <c r="Y74" s="21"/>
      <c r="Z74" s="21"/>
      <c r="AA74" s="21"/>
      <c r="AB74" s="21"/>
      <c r="AC74" s="27"/>
      <c r="AD74" s="21"/>
      <c r="AE74" s="21"/>
      <c r="AF74" s="21"/>
      <c r="AG74" s="27"/>
      <c r="AH74" s="415">
        <f>1*0</f>
        <v>0</v>
      </c>
      <c r="AI74" s="21">
        <f>+AH74*G74*D74*0.17</f>
        <v>0</v>
      </c>
      <c r="AK74" s="301">
        <f t="shared" ref="AK74" si="277">+IF(D74=0.667,E74*F74*G74,0)</f>
        <v>0</v>
      </c>
      <c r="AL74" s="301">
        <f t="shared" ref="AL74" si="278">+IF(D74=0.333,E74*F74*G74,0)</f>
        <v>0</v>
      </c>
      <c r="AM74" s="301"/>
      <c r="AN74" s="301"/>
      <c r="AO74" s="299"/>
      <c r="AP74" s="301"/>
      <c r="AQ74" s="301"/>
    </row>
    <row r="75" spans="2:43" ht="20.100000000000001" customHeight="1" x14ac:dyDescent="0.3">
      <c r="B75" s="18"/>
      <c r="C75" s="62" t="s">
        <v>246</v>
      </c>
      <c r="D75" s="298">
        <v>0.66700000000000004</v>
      </c>
      <c r="E75" s="607">
        <f>-1*0</f>
        <v>0</v>
      </c>
      <c r="F75" s="607">
        <f>2*0</f>
        <v>0</v>
      </c>
      <c r="G75" s="20">
        <v>2</v>
      </c>
      <c r="H75" s="20">
        <f t="shared" ref="H75" si="279">+D75</f>
        <v>0.66700000000000004</v>
      </c>
      <c r="I75" s="21"/>
      <c r="J75" s="81"/>
      <c r="K75" s="103">
        <f t="shared" ref="K75" si="280">+IF(D75=0.667,E75*F75*G75*H75*J75,0)</f>
        <v>0</v>
      </c>
      <c r="L75" s="103">
        <f t="shared" ref="L75" si="281">+IF(D75=0.333,E75*F75*G75*J75,0)</f>
        <v>0</v>
      </c>
      <c r="M75" s="81">
        <v>0</v>
      </c>
      <c r="N75" s="103">
        <f t="shared" ref="N75" si="282">+IF(D75=0.667,E75*F75*G75*H75*M75,0)</f>
        <v>0</v>
      </c>
      <c r="O75" s="103">
        <f t="shared" ref="O75" si="283">+IF(D75=0.333,E75*F75*G75*M75,0)</f>
        <v>0</v>
      </c>
      <c r="P75" s="81">
        <v>2</v>
      </c>
      <c r="Q75" s="103">
        <f t="shared" ref="Q75" si="284">+IF(D75=0.667,E75*F75*G75*H75*P75,0)</f>
        <v>0</v>
      </c>
      <c r="R75" s="103">
        <f t="shared" ref="R75" si="285">+IF(D75=0.333,E75*F75*G75*P75,0)</f>
        <v>0</v>
      </c>
      <c r="S75" s="104">
        <f t="shared" si="275"/>
        <v>0</v>
      </c>
      <c r="T75" s="104">
        <f t="shared" si="276"/>
        <v>0</v>
      </c>
      <c r="U75" s="18"/>
      <c r="V75" s="26"/>
      <c r="W75" s="21">
        <f>+G75+D75</f>
        <v>2.6669999999999998</v>
      </c>
      <c r="X75" s="21">
        <v>0.5</v>
      </c>
      <c r="Y75" s="21">
        <f>+IF(D75=0.667,-E75*F75*H75*W75*X75,0)</f>
        <v>0</v>
      </c>
      <c r="Z75" s="21">
        <f>+IF(D75=0.333,-E75*F75*H75*W75*X75,0)</f>
        <v>0</v>
      </c>
      <c r="AA75" s="21">
        <f>+F75*G75*H75</f>
        <v>0</v>
      </c>
      <c r="AB75" s="21">
        <f t="shared" ref="AB75" si="286">2*F75*W75*X75</f>
        <v>0</v>
      </c>
      <c r="AC75" s="27"/>
      <c r="AD75" s="21">
        <v>0.16700000000000001</v>
      </c>
      <c r="AE75" s="21">
        <f t="shared" ref="AE75" si="287">+IF(D75=0.667,AD75*W75*H75*F75,0)</f>
        <v>0</v>
      </c>
      <c r="AF75" s="21">
        <f t="shared" ref="AF75" si="288">+IF(D75=0.333,AD75*W75*H75*F75,0)</f>
        <v>0</v>
      </c>
      <c r="AG75" s="27"/>
      <c r="AH75" s="396"/>
      <c r="AI75" s="21">
        <f t="shared" ref="AI75" si="289">+AH75*G75*D75*0.17</f>
        <v>0</v>
      </c>
      <c r="AK75" s="301"/>
      <c r="AL75" s="301"/>
      <c r="AM75" s="301"/>
      <c r="AN75" s="301"/>
      <c r="AO75" s="299"/>
      <c r="AP75" s="301"/>
      <c r="AQ75" s="301"/>
    </row>
    <row r="76" spans="2:43" ht="26.25" customHeight="1" x14ac:dyDescent="0.3">
      <c r="B76" s="92"/>
      <c r="C76" s="62" t="s">
        <v>340</v>
      </c>
      <c r="D76" s="98">
        <v>0.33300000000000002</v>
      </c>
      <c r="E76" s="415">
        <f>1*0</f>
        <v>0</v>
      </c>
      <c r="F76" s="415">
        <f>1*0</f>
        <v>0</v>
      </c>
      <c r="G76" s="98">
        <f>(3.66)*3.281</f>
        <v>12.008460000000001</v>
      </c>
      <c r="H76" s="98">
        <f>+D76</f>
        <v>0.33300000000000002</v>
      </c>
      <c r="I76" s="94">
        <v>2</v>
      </c>
      <c r="J76" s="99">
        <v>3</v>
      </c>
      <c r="K76" s="100">
        <f>+IF(D76=0.667,E76*F76*G76*H76*J76,0)</f>
        <v>0</v>
      </c>
      <c r="L76" s="100">
        <f>+IF(D76=0.333,E76*F76*G76*J76,0)</f>
        <v>0</v>
      </c>
      <c r="M76" s="99">
        <v>4</v>
      </c>
      <c r="N76" s="100">
        <f>+IF(D76=0.667,E76*F76*G76*H76*M76,0)</f>
        <v>0</v>
      </c>
      <c r="O76" s="100">
        <f>+IF(D76=0.333,E76*F76*G76*M76,0)</f>
        <v>0</v>
      </c>
      <c r="P76" s="81">
        <f t="shared" ref="P76:P77" si="290">11.833-I76-M76-J76</f>
        <v>2.8330000000000002</v>
      </c>
      <c r="Q76" s="100">
        <f>+IF(D76=0.667,E76*F76*G76*H76*P76,0)</f>
        <v>0</v>
      </c>
      <c r="R76" s="100">
        <f>+IF(D76=0.333,E76*F76*G76*P76,0)</f>
        <v>0</v>
      </c>
      <c r="S76" s="101">
        <f t="shared" si="275"/>
        <v>0</v>
      </c>
      <c r="T76" s="101">
        <f t="shared" si="276"/>
        <v>0</v>
      </c>
      <c r="U76" s="92"/>
      <c r="V76" s="91"/>
      <c r="W76" s="102"/>
      <c r="X76" s="98"/>
      <c r="Y76" s="102"/>
      <c r="Z76" s="98"/>
      <c r="AA76" s="98"/>
      <c r="AB76" s="98"/>
      <c r="AC76" s="91"/>
      <c r="AD76" s="98"/>
      <c r="AE76" s="98"/>
      <c r="AF76" s="98"/>
      <c r="AG76" s="91"/>
      <c r="AH76" s="415">
        <f>1*0</f>
        <v>0</v>
      </c>
      <c r="AI76" s="299">
        <f>+AH76*G76*D76*0.17</f>
        <v>0</v>
      </c>
      <c r="AK76" s="301">
        <f t="shared" ref="AK76" si="291">+IF(D76=0.667,E76*F76*G76,0)</f>
        <v>0</v>
      </c>
      <c r="AL76" s="301">
        <f t="shared" ref="AL76" si="292">+IF(D76=0.333,E76*F76*G76,0)</f>
        <v>0</v>
      </c>
      <c r="AM76" s="301"/>
      <c r="AN76" s="301"/>
      <c r="AO76" s="299"/>
      <c r="AP76" s="301"/>
      <c r="AQ76" s="301"/>
    </row>
    <row r="77" spans="2:43" ht="23.25" customHeight="1" x14ac:dyDescent="0.3">
      <c r="B77" s="92"/>
      <c r="C77" s="62" t="s">
        <v>340</v>
      </c>
      <c r="D77" s="98">
        <v>0.33300000000000002</v>
      </c>
      <c r="E77" s="415">
        <f>1*0</f>
        <v>0</v>
      </c>
      <c r="F77" s="415">
        <f>1*0</f>
        <v>0</v>
      </c>
      <c r="G77" s="98">
        <f>(0.65+1.734+2.135+2.98+3.06)*3.281</f>
        <v>34.644079000000005</v>
      </c>
      <c r="H77" s="98">
        <f>+D77</f>
        <v>0.33300000000000002</v>
      </c>
      <c r="I77" s="94">
        <v>2</v>
      </c>
      <c r="J77" s="99">
        <v>3</v>
      </c>
      <c r="K77" s="100">
        <f>+IF(D77=0.667,E77*F77*G77*H77*J77,0)</f>
        <v>0</v>
      </c>
      <c r="L77" s="100">
        <f>+IF(D77=0.333,E77*F77*G77*J77,0)</f>
        <v>0</v>
      </c>
      <c r="M77" s="99">
        <v>4</v>
      </c>
      <c r="N77" s="100">
        <f>+IF(D77=0.667,E77*F77*G77*H77*M77,0)</f>
        <v>0</v>
      </c>
      <c r="O77" s="100">
        <f>+IF(D77=0.333,E77*F77*G77*M77,0)</f>
        <v>0</v>
      </c>
      <c r="P77" s="81">
        <f t="shared" si="290"/>
        <v>2.8330000000000002</v>
      </c>
      <c r="Q77" s="100">
        <f>+IF(D77=0.667,E77*F77*G77*H77*P77,0)</f>
        <v>0</v>
      </c>
      <c r="R77" s="100">
        <f>+IF(D77=0.333,E77*F77*G77*P77,0)</f>
        <v>0</v>
      </c>
      <c r="S77" s="101">
        <f t="shared" ref="S77:S80" si="293">+Q77+N77+K77</f>
        <v>0</v>
      </c>
      <c r="T77" s="101">
        <f t="shared" ref="T77:T80" si="294">+R77+O77+L77</f>
        <v>0</v>
      </c>
      <c r="U77" s="92"/>
      <c r="V77" s="91"/>
      <c r="W77" s="102"/>
      <c r="X77" s="98"/>
      <c r="Y77" s="102"/>
      <c r="Z77" s="98"/>
      <c r="AA77" s="98"/>
      <c r="AB77" s="98"/>
      <c r="AC77" s="91"/>
      <c r="AD77" s="98"/>
      <c r="AE77" s="98"/>
      <c r="AF77" s="98"/>
      <c r="AG77" s="91"/>
      <c r="AH77" s="415">
        <f>1*0</f>
        <v>0</v>
      </c>
      <c r="AI77" s="299">
        <f>+AH77*G77*D77*0.17</f>
        <v>0</v>
      </c>
      <c r="AK77" s="301">
        <f t="shared" ref="AK77:AK80" si="295">+IF(D77=0.667,E77*F77*G77,0)</f>
        <v>0</v>
      </c>
      <c r="AL77" s="301">
        <f t="shared" ref="AL77:AL80" si="296">+IF(D77=0.333,E77*F77*G77,0)</f>
        <v>0</v>
      </c>
      <c r="AM77" s="301"/>
      <c r="AN77" s="301"/>
      <c r="AO77" s="299"/>
      <c r="AP77" s="301"/>
      <c r="AQ77" s="301"/>
    </row>
    <row r="78" spans="2:43" ht="20.100000000000001" customHeight="1" x14ac:dyDescent="0.3">
      <c r="B78" s="18"/>
      <c r="C78" s="62" t="s">
        <v>337</v>
      </c>
      <c r="D78" s="98">
        <v>0.33300000000000002</v>
      </c>
      <c r="E78" s="607">
        <f>-1*0</f>
        <v>0</v>
      </c>
      <c r="F78" s="607">
        <f>2*0</f>
        <v>0</v>
      </c>
      <c r="G78" s="20">
        <v>2.5</v>
      </c>
      <c r="H78" s="20">
        <f t="shared" ref="H78:H79" si="297">+D78</f>
        <v>0.33300000000000002</v>
      </c>
      <c r="I78" s="21"/>
      <c r="J78" s="81">
        <v>3</v>
      </c>
      <c r="K78" s="103">
        <f t="shared" ref="K78:K79" si="298">+IF(D78=0.667,E78*F78*G78*H78*J78,0)</f>
        <v>0</v>
      </c>
      <c r="L78" s="103">
        <f t="shared" ref="L78:L79" si="299">+IF(D78=0.333,E78*F78*G78*J78,0)</f>
        <v>0</v>
      </c>
      <c r="M78" s="81">
        <v>3</v>
      </c>
      <c r="N78" s="103">
        <f t="shared" ref="N78:N79" si="300">+IF(D78=0.667,E78*F78*G78*H78*M78,0)</f>
        <v>0</v>
      </c>
      <c r="O78" s="103">
        <f t="shared" ref="O78:O79" si="301">+IF(D78=0.333,E78*F78*G78*M78,0)</f>
        <v>0</v>
      </c>
      <c r="P78" s="81"/>
      <c r="Q78" s="103">
        <f t="shared" ref="Q78:Q79" si="302">+IF(D78=0.667,E78*F78*G78*H78*P78,0)</f>
        <v>0</v>
      </c>
      <c r="R78" s="103">
        <f t="shared" ref="R78:R79" si="303">+IF(D78=0.333,E78*F78*G78*P78,0)</f>
        <v>0</v>
      </c>
      <c r="S78" s="104">
        <f t="shared" si="293"/>
        <v>0</v>
      </c>
      <c r="T78" s="104">
        <f t="shared" si="294"/>
        <v>0</v>
      </c>
      <c r="U78" s="18"/>
      <c r="V78" s="26"/>
      <c r="W78" s="21">
        <f>+G78+D78</f>
        <v>2.8330000000000002</v>
      </c>
      <c r="X78" s="21">
        <v>0.5</v>
      </c>
      <c r="Y78" s="21">
        <f>+IF(D78=0.667,-E78*F78*H78*W78*X78,0)</f>
        <v>0</v>
      </c>
      <c r="Z78" s="21">
        <f>+IF(D78=0.333,-E78*F78*H78*W78*X78,0)</f>
        <v>0</v>
      </c>
      <c r="AA78" s="21">
        <f>+F78*G78*H78</f>
        <v>0</v>
      </c>
      <c r="AB78" s="21">
        <f t="shared" ref="AB78:AB79" si="304">2*F78*W78*X78</f>
        <v>0</v>
      </c>
      <c r="AC78" s="27"/>
      <c r="AD78" s="21"/>
      <c r="AE78" s="21">
        <f t="shared" ref="AE78:AE79" si="305">+IF(D78=0.667,AD78*W78*H78*F78,0)</f>
        <v>0</v>
      </c>
      <c r="AF78" s="21">
        <f t="shared" ref="AF78:AF79" si="306">+IF(D78=0.333,AD78*W78*H78*F78,0)</f>
        <v>0</v>
      </c>
      <c r="AG78" s="27"/>
      <c r="AH78" s="396"/>
      <c r="AI78" s="21">
        <f t="shared" ref="AI78:AI79" si="307">+AH78*G78*D78*0.17</f>
        <v>0</v>
      </c>
      <c r="AK78" s="301">
        <f t="shared" si="295"/>
        <v>0</v>
      </c>
      <c r="AL78" s="301">
        <f t="shared" si="296"/>
        <v>0</v>
      </c>
      <c r="AM78" s="301"/>
      <c r="AN78" s="301">
        <f>+IF(D78=0.333,1.33,0)*0</f>
        <v>0</v>
      </c>
      <c r="AO78" s="299"/>
      <c r="AP78" s="301"/>
      <c r="AQ78" s="301"/>
    </row>
    <row r="79" spans="2:43" ht="20.100000000000001" customHeight="1" x14ac:dyDescent="0.3">
      <c r="B79" s="18"/>
      <c r="C79" s="62" t="s">
        <v>341</v>
      </c>
      <c r="D79" s="98">
        <v>0.33300000000000002</v>
      </c>
      <c r="E79" s="607">
        <f>-1*0</f>
        <v>0</v>
      </c>
      <c r="F79" s="607">
        <f>1*0</f>
        <v>0</v>
      </c>
      <c r="G79" s="20">
        <v>3.25</v>
      </c>
      <c r="H79" s="20">
        <f t="shared" si="297"/>
        <v>0.33300000000000002</v>
      </c>
      <c r="I79" s="21"/>
      <c r="J79" s="81">
        <v>3</v>
      </c>
      <c r="K79" s="103">
        <f t="shared" si="298"/>
        <v>0</v>
      </c>
      <c r="L79" s="103">
        <f t="shared" si="299"/>
        <v>0</v>
      </c>
      <c r="M79" s="81">
        <v>3</v>
      </c>
      <c r="N79" s="103">
        <f t="shared" si="300"/>
        <v>0</v>
      </c>
      <c r="O79" s="103">
        <f t="shared" si="301"/>
        <v>0</v>
      </c>
      <c r="P79" s="81"/>
      <c r="Q79" s="103">
        <f t="shared" si="302"/>
        <v>0</v>
      </c>
      <c r="R79" s="103">
        <f t="shared" si="303"/>
        <v>0</v>
      </c>
      <c r="S79" s="104">
        <f t="shared" si="293"/>
        <v>0</v>
      </c>
      <c r="T79" s="104">
        <f t="shared" si="294"/>
        <v>0</v>
      </c>
      <c r="U79" s="18"/>
      <c r="V79" s="26"/>
      <c r="W79" s="21">
        <f>+G79+D79</f>
        <v>3.5830000000000002</v>
      </c>
      <c r="X79" s="21">
        <v>0.5</v>
      </c>
      <c r="Y79" s="21">
        <f>+IF(D79=0.667,-E79*F79*H79*W79*X79,0)</f>
        <v>0</v>
      </c>
      <c r="Z79" s="21">
        <f>+IF(D79=0.333,-E79*F79*H79*W79*X79,0)</f>
        <v>0</v>
      </c>
      <c r="AA79" s="21">
        <f>+F79*G79*H79</f>
        <v>0</v>
      </c>
      <c r="AB79" s="21">
        <f t="shared" si="304"/>
        <v>0</v>
      </c>
      <c r="AC79" s="27"/>
      <c r="AD79" s="21"/>
      <c r="AE79" s="21">
        <f t="shared" si="305"/>
        <v>0</v>
      </c>
      <c r="AF79" s="21">
        <f t="shared" si="306"/>
        <v>0</v>
      </c>
      <c r="AG79" s="27"/>
      <c r="AH79" s="396"/>
      <c r="AI79" s="21">
        <f t="shared" si="307"/>
        <v>0</v>
      </c>
      <c r="AK79" s="301">
        <f t="shared" si="295"/>
        <v>0</v>
      </c>
      <c r="AL79" s="301">
        <f t="shared" si="296"/>
        <v>0</v>
      </c>
      <c r="AM79" s="301"/>
      <c r="AN79" s="301">
        <f>+IF(D79=0.333,1.33,0)*0</f>
        <v>0</v>
      </c>
      <c r="AO79" s="299"/>
      <c r="AP79" s="301"/>
      <c r="AQ79" s="301"/>
    </row>
    <row r="80" spans="2:43" ht="30" customHeight="1" x14ac:dyDescent="0.3">
      <c r="B80" s="92"/>
      <c r="C80" s="62" t="s">
        <v>342</v>
      </c>
      <c r="D80" s="98">
        <v>0.33300000000000002</v>
      </c>
      <c r="E80" s="415">
        <f>1*0</f>
        <v>0</v>
      </c>
      <c r="F80" s="415">
        <f>1*0</f>
        <v>0</v>
      </c>
      <c r="G80" s="98">
        <f>(3.89+4.57+2.135+2.135+1.736+2.135+1.39+2.985)*3.281</f>
        <v>68.822255999999996</v>
      </c>
      <c r="H80" s="98">
        <f>+D80</f>
        <v>0.33300000000000002</v>
      </c>
      <c r="I80" s="94">
        <v>2</v>
      </c>
      <c r="J80" s="99">
        <v>3</v>
      </c>
      <c r="K80" s="100">
        <f>+IF(D80=0.667,E80*F80*G80*H80*J80,0)</f>
        <v>0</v>
      </c>
      <c r="L80" s="100">
        <f>+IF(D80=0.333,E80*F80*G80*J80,0)</f>
        <v>0</v>
      </c>
      <c r="M80" s="99">
        <v>4</v>
      </c>
      <c r="N80" s="100">
        <f>+IF(D80=0.667,E80*F80*G80*H80*M80,0)</f>
        <v>0</v>
      </c>
      <c r="O80" s="100">
        <f>+IF(D80=0.333,E80*F80*G80*M80,0)</f>
        <v>0</v>
      </c>
      <c r="P80" s="81">
        <f t="shared" ref="P80" si="308">11.833-I80-M80-J80</f>
        <v>2.8330000000000002</v>
      </c>
      <c r="Q80" s="100">
        <f>+IF(D80=0.667,E80*F80*G80*H80*P80,0)</f>
        <v>0</v>
      </c>
      <c r="R80" s="100">
        <f>+IF(D80=0.333,E80*F80*G80*P80,0)</f>
        <v>0</v>
      </c>
      <c r="S80" s="101">
        <f t="shared" si="293"/>
        <v>0</v>
      </c>
      <c r="T80" s="101">
        <f t="shared" si="294"/>
        <v>0</v>
      </c>
      <c r="U80" s="92"/>
      <c r="V80" s="91"/>
      <c r="W80" s="102"/>
      <c r="X80" s="98"/>
      <c r="Y80" s="102"/>
      <c r="Z80" s="98"/>
      <c r="AA80" s="98"/>
      <c r="AB80" s="98"/>
      <c r="AC80" s="91"/>
      <c r="AD80" s="98"/>
      <c r="AE80" s="98"/>
      <c r="AF80" s="98"/>
      <c r="AG80" s="91"/>
      <c r="AH80" s="415">
        <f>1*0</f>
        <v>0</v>
      </c>
      <c r="AI80" s="299">
        <f>+AH80*G80*D80*0.17</f>
        <v>0</v>
      </c>
      <c r="AK80" s="301">
        <f t="shared" si="295"/>
        <v>0</v>
      </c>
      <c r="AL80" s="301">
        <f t="shared" si="296"/>
        <v>0</v>
      </c>
      <c r="AM80" s="301"/>
      <c r="AN80" s="301"/>
      <c r="AO80" s="299"/>
      <c r="AP80" s="301"/>
      <c r="AQ80" s="301"/>
    </row>
    <row r="81" spans="2:43" ht="20.100000000000001" customHeight="1" x14ac:dyDescent="0.3">
      <c r="B81" s="18"/>
      <c r="C81" s="62" t="s">
        <v>337</v>
      </c>
      <c r="D81" s="98">
        <v>0.33300000000000002</v>
      </c>
      <c r="E81" s="607">
        <f>-1*0</f>
        <v>0</v>
      </c>
      <c r="F81" s="607">
        <f>4*0</f>
        <v>0</v>
      </c>
      <c r="G81" s="20">
        <v>2.5</v>
      </c>
      <c r="H81" s="20">
        <f t="shared" ref="H81:H84" si="309">+D81</f>
        <v>0.33300000000000002</v>
      </c>
      <c r="I81" s="21"/>
      <c r="J81" s="81">
        <v>3</v>
      </c>
      <c r="K81" s="103">
        <f t="shared" ref="K81:K84" si="310">+IF(D81=0.667,E81*F81*G81*H81*J81,0)</f>
        <v>0</v>
      </c>
      <c r="L81" s="103">
        <f t="shared" ref="L81:L84" si="311">+IF(D81=0.333,E81*F81*G81*J81,0)</f>
        <v>0</v>
      </c>
      <c r="M81" s="81">
        <v>3</v>
      </c>
      <c r="N81" s="103">
        <f t="shared" ref="N81:N84" si="312">+IF(D81=0.667,E81*F81*G81*H81*M81,0)</f>
        <v>0</v>
      </c>
      <c r="O81" s="103">
        <f t="shared" ref="O81:O84" si="313">+IF(D81=0.333,E81*F81*G81*M81,0)</f>
        <v>0</v>
      </c>
      <c r="P81" s="81"/>
      <c r="Q81" s="103">
        <f t="shared" ref="Q81:Q84" si="314">+IF(D81=0.667,E81*F81*G81*H81*P81,0)</f>
        <v>0</v>
      </c>
      <c r="R81" s="103">
        <f t="shared" ref="R81:R84" si="315">+IF(D81=0.333,E81*F81*G81*P81,0)</f>
        <v>0</v>
      </c>
      <c r="S81" s="104">
        <f t="shared" ref="S81:S84" si="316">+Q81+N81+K81</f>
        <v>0</v>
      </c>
      <c r="T81" s="104">
        <f t="shared" ref="T81:T84" si="317">+R81+O81+L81</f>
        <v>0</v>
      </c>
      <c r="U81" s="18"/>
      <c r="V81" s="26"/>
      <c r="W81" s="21">
        <f>+G81+D81</f>
        <v>2.8330000000000002</v>
      </c>
      <c r="X81" s="21">
        <v>0.5</v>
      </c>
      <c r="Y81" s="21">
        <f>+IF(D81=0.667,-E81*F81*H81*W81*X81,0)</f>
        <v>0</v>
      </c>
      <c r="Z81" s="21">
        <f>+IF(D81=0.333,-E81*F81*H81*W81*X81,0)</f>
        <v>0</v>
      </c>
      <c r="AA81" s="21">
        <f>+F81*G81*H81</f>
        <v>0</v>
      </c>
      <c r="AB81" s="21">
        <f t="shared" ref="AB81:AB84" si="318">2*F81*W81*X81</f>
        <v>0</v>
      </c>
      <c r="AC81" s="27"/>
      <c r="AD81" s="21"/>
      <c r="AE81" s="21">
        <f t="shared" ref="AE81:AE84" si="319">+IF(D81=0.667,AD81*W81*H81*F81,0)</f>
        <v>0</v>
      </c>
      <c r="AF81" s="21">
        <f t="shared" ref="AF81:AF84" si="320">+IF(D81=0.333,AD81*W81*H81*F81,0)</f>
        <v>0</v>
      </c>
      <c r="AG81" s="27"/>
      <c r="AH81" s="396"/>
      <c r="AI81" s="21">
        <f t="shared" ref="AI81:AI84" si="321">+AH81*G81*D81*0.17</f>
        <v>0</v>
      </c>
      <c r="AK81" s="301">
        <f t="shared" ref="AK81:AK84" si="322">+IF(D81=0.667,E81*F81*G81,0)</f>
        <v>0</v>
      </c>
      <c r="AL81" s="301">
        <f t="shared" ref="AL81:AL82" si="323">+IF(D81=0.333,E81*F81*G81,0)</f>
        <v>0</v>
      </c>
      <c r="AM81" s="301"/>
      <c r="AN81" s="301">
        <f>+IF(D81=0.333,1.33,0)*0</f>
        <v>0</v>
      </c>
      <c r="AO81" s="299"/>
      <c r="AP81" s="301"/>
      <c r="AQ81" s="301"/>
    </row>
    <row r="82" spans="2:43" ht="20.100000000000001" customHeight="1" x14ac:dyDescent="0.3">
      <c r="B82" s="18"/>
      <c r="C82" s="62" t="s">
        <v>341</v>
      </c>
      <c r="D82" s="98">
        <v>0.33300000000000002</v>
      </c>
      <c r="E82" s="607">
        <f>-1*0</f>
        <v>0</v>
      </c>
      <c r="F82" s="607">
        <f>1*0</f>
        <v>0</v>
      </c>
      <c r="G82" s="20">
        <v>3.25</v>
      </c>
      <c r="H82" s="20">
        <f t="shared" si="309"/>
        <v>0.33300000000000002</v>
      </c>
      <c r="I82" s="21"/>
      <c r="J82" s="81">
        <v>3</v>
      </c>
      <c r="K82" s="103">
        <f t="shared" si="310"/>
        <v>0</v>
      </c>
      <c r="L82" s="103">
        <f t="shared" si="311"/>
        <v>0</v>
      </c>
      <c r="M82" s="81">
        <v>3</v>
      </c>
      <c r="N82" s="103">
        <f t="shared" si="312"/>
        <v>0</v>
      </c>
      <c r="O82" s="103">
        <f t="shared" si="313"/>
        <v>0</v>
      </c>
      <c r="P82" s="81"/>
      <c r="Q82" s="103">
        <f t="shared" si="314"/>
        <v>0</v>
      </c>
      <c r="R82" s="103">
        <f t="shared" si="315"/>
        <v>0</v>
      </c>
      <c r="S82" s="104">
        <f t="shared" si="316"/>
        <v>0</v>
      </c>
      <c r="T82" s="104">
        <f t="shared" si="317"/>
        <v>0</v>
      </c>
      <c r="U82" s="18"/>
      <c r="V82" s="26"/>
      <c r="W82" s="21">
        <f>+G82+D82</f>
        <v>3.5830000000000002</v>
      </c>
      <c r="X82" s="21">
        <v>0.5</v>
      </c>
      <c r="Y82" s="21">
        <f>+IF(D82=0.667,-E82*F82*H82*W82*X82,0)</f>
        <v>0</v>
      </c>
      <c r="Z82" s="21">
        <f>+IF(D82=0.333,-E82*F82*H82*W82*X82,0)</f>
        <v>0</v>
      </c>
      <c r="AA82" s="21">
        <f>+F82*G82*H82</f>
        <v>0</v>
      </c>
      <c r="AB82" s="21">
        <f t="shared" si="318"/>
        <v>0</v>
      </c>
      <c r="AC82" s="27"/>
      <c r="AD82" s="21"/>
      <c r="AE82" s="21">
        <f t="shared" si="319"/>
        <v>0</v>
      </c>
      <c r="AF82" s="21">
        <f t="shared" si="320"/>
        <v>0</v>
      </c>
      <c r="AG82" s="27"/>
      <c r="AH82" s="396"/>
      <c r="AI82" s="21">
        <f t="shared" si="321"/>
        <v>0</v>
      </c>
      <c r="AK82" s="301">
        <f t="shared" si="322"/>
        <v>0</v>
      </c>
      <c r="AL82" s="301">
        <f t="shared" si="323"/>
        <v>0</v>
      </c>
      <c r="AM82" s="301"/>
      <c r="AN82" s="301">
        <f>+IF(D82=0.333,1.33,0)*0</f>
        <v>0</v>
      </c>
      <c r="AO82" s="299"/>
      <c r="AP82" s="301"/>
      <c r="AQ82" s="301"/>
    </row>
    <row r="83" spans="2:43" ht="20.100000000000001" customHeight="1" x14ac:dyDescent="0.3">
      <c r="B83" s="18"/>
      <c r="C83" s="62" t="s">
        <v>343</v>
      </c>
      <c r="D83" s="298">
        <v>0.33300000000000002</v>
      </c>
      <c r="E83" s="415">
        <f>1*0</f>
        <v>0</v>
      </c>
      <c r="F83" s="415">
        <f>1*0</f>
        <v>0</v>
      </c>
      <c r="G83" s="20">
        <f>(1.05+1.05+1.05)*3.281</f>
        <v>10.335150000000002</v>
      </c>
      <c r="H83" s="20">
        <f t="shared" si="309"/>
        <v>0.33300000000000002</v>
      </c>
      <c r="I83" s="21">
        <f>18/12</f>
        <v>1.5</v>
      </c>
      <c r="J83" s="81">
        <v>3</v>
      </c>
      <c r="K83" s="103">
        <f t="shared" si="310"/>
        <v>0</v>
      </c>
      <c r="L83" s="103">
        <f t="shared" si="311"/>
        <v>0</v>
      </c>
      <c r="M83" s="81"/>
      <c r="N83" s="103">
        <f t="shared" si="312"/>
        <v>0</v>
      </c>
      <c r="O83" s="103">
        <f t="shared" si="313"/>
        <v>0</v>
      </c>
      <c r="P83" s="81"/>
      <c r="Q83" s="103">
        <f t="shared" si="314"/>
        <v>0</v>
      </c>
      <c r="R83" s="103">
        <f t="shared" si="315"/>
        <v>0</v>
      </c>
      <c r="S83" s="104">
        <f t="shared" si="316"/>
        <v>0</v>
      </c>
      <c r="T83" s="104">
        <f t="shared" si="317"/>
        <v>0</v>
      </c>
      <c r="U83" s="18"/>
      <c r="V83" s="26"/>
      <c r="W83" s="21"/>
      <c r="X83" s="21"/>
      <c r="Y83" s="21"/>
      <c r="Z83" s="21"/>
      <c r="AA83" s="21"/>
      <c r="AB83" s="21">
        <f t="shared" si="318"/>
        <v>0</v>
      </c>
      <c r="AC83" s="27"/>
      <c r="AD83" s="21"/>
      <c r="AE83" s="21">
        <f t="shared" si="319"/>
        <v>0</v>
      </c>
      <c r="AF83" s="21">
        <f t="shared" si="320"/>
        <v>0</v>
      </c>
      <c r="AG83" s="27"/>
      <c r="AH83" s="415">
        <f>1*0</f>
        <v>0</v>
      </c>
      <c r="AI83" s="21">
        <f t="shared" si="321"/>
        <v>0</v>
      </c>
      <c r="AK83" s="301">
        <f t="shared" si="322"/>
        <v>0</v>
      </c>
      <c r="AL83" s="301"/>
      <c r="AM83" s="301"/>
      <c r="AN83" s="301"/>
      <c r="AO83" s="299">
        <f>+E83*F83*G83</f>
        <v>0</v>
      </c>
      <c r="AP83" s="301"/>
      <c r="AQ83" s="301"/>
    </row>
    <row r="84" spans="2:43" ht="20.100000000000001" customHeight="1" x14ac:dyDescent="0.3">
      <c r="B84" s="18"/>
      <c r="C84" s="62" t="s">
        <v>344</v>
      </c>
      <c r="D84" s="298">
        <v>0.33300000000000002</v>
      </c>
      <c r="E84" s="415">
        <f>1*0</f>
        <v>0</v>
      </c>
      <c r="F84" s="415">
        <f>1*0</f>
        <v>0</v>
      </c>
      <c r="G84" s="20">
        <f>(1.05+1.05+1.05+1.05+1.05)*3.281</f>
        <v>17.225249999999999</v>
      </c>
      <c r="H84" s="20">
        <f t="shared" si="309"/>
        <v>0.33300000000000002</v>
      </c>
      <c r="I84" s="21">
        <f>18/12</f>
        <v>1.5</v>
      </c>
      <c r="J84" s="81">
        <v>3</v>
      </c>
      <c r="K84" s="103">
        <f t="shared" si="310"/>
        <v>0</v>
      </c>
      <c r="L84" s="103">
        <f t="shared" si="311"/>
        <v>0</v>
      </c>
      <c r="M84" s="81"/>
      <c r="N84" s="103">
        <f t="shared" si="312"/>
        <v>0</v>
      </c>
      <c r="O84" s="103">
        <f t="shared" si="313"/>
        <v>0</v>
      </c>
      <c r="P84" s="81"/>
      <c r="Q84" s="103">
        <f t="shared" si="314"/>
        <v>0</v>
      </c>
      <c r="R84" s="103">
        <f t="shared" si="315"/>
        <v>0</v>
      </c>
      <c r="S84" s="104">
        <f t="shared" si="316"/>
        <v>0</v>
      </c>
      <c r="T84" s="104">
        <f t="shared" si="317"/>
        <v>0</v>
      </c>
      <c r="U84" s="18"/>
      <c r="V84" s="26"/>
      <c r="W84" s="21"/>
      <c r="X84" s="21"/>
      <c r="Y84" s="21"/>
      <c r="Z84" s="21"/>
      <c r="AA84" s="21"/>
      <c r="AB84" s="21">
        <f t="shared" si="318"/>
        <v>0</v>
      </c>
      <c r="AC84" s="27"/>
      <c r="AD84" s="21"/>
      <c r="AE84" s="21">
        <f t="shared" si="319"/>
        <v>0</v>
      </c>
      <c r="AF84" s="21">
        <f t="shared" si="320"/>
        <v>0</v>
      </c>
      <c r="AG84" s="27"/>
      <c r="AH84" s="415">
        <f>1*0</f>
        <v>0</v>
      </c>
      <c r="AI84" s="21">
        <f t="shared" si="321"/>
        <v>0</v>
      </c>
      <c r="AK84" s="301">
        <f t="shared" si="322"/>
        <v>0</v>
      </c>
      <c r="AL84" s="301"/>
      <c r="AM84" s="301"/>
      <c r="AN84" s="301"/>
      <c r="AO84" s="299">
        <f>+E84*F84*G84</f>
        <v>0</v>
      </c>
      <c r="AP84" s="301"/>
      <c r="AQ84" s="301"/>
    </row>
    <row r="85" spans="2:43" ht="20.100000000000001" customHeight="1" x14ac:dyDescent="0.3">
      <c r="B85" s="369"/>
      <c r="C85" s="395"/>
      <c r="D85" s="371"/>
      <c r="E85" s="369"/>
      <c r="F85" s="369"/>
      <c r="G85" s="371"/>
      <c r="H85" s="371"/>
      <c r="I85" s="372"/>
      <c r="J85" s="371"/>
      <c r="K85" s="371"/>
      <c r="L85" s="371"/>
      <c r="M85" s="371"/>
      <c r="N85" s="371"/>
      <c r="O85" s="371"/>
      <c r="P85" s="371"/>
      <c r="Q85" s="371"/>
      <c r="R85" s="371"/>
      <c r="S85" s="371"/>
      <c r="T85" s="371"/>
      <c r="U85" s="369"/>
      <c r="V85" s="370"/>
      <c r="W85" s="372"/>
      <c r="X85" s="371"/>
      <c r="Y85" s="372"/>
      <c r="Z85" s="371"/>
      <c r="AA85" s="371"/>
      <c r="AB85" s="371"/>
      <c r="AC85" s="370"/>
      <c r="AD85" s="371"/>
      <c r="AE85" s="371"/>
      <c r="AF85" s="371"/>
      <c r="AG85" s="370"/>
      <c r="AH85" s="693"/>
      <c r="AI85" s="372"/>
      <c r="AK85" s="377"/>
      <c r="AL85" s="377"/>
      <c r="AM85" s="377"/>
      <c r="AN85" s="377"/>
      <c r="AO85" s="372"/>
      <c r="AP85" s="377"/>
      <c r="AQ85" s="377"/>
    </row>
    <row r="86" spans="2:43" ht="20.100000000000001" customHeight="1" x14ac:dyDescent="0.3">
      <c r="B86" s="92">
        <v>3</v>
      </c>
      <c r="C86" s="93" t="s">
        <v>348</v>
      </c>
      <c r="D86" s="92"/>
      <c r="E86" s="92"/>
      <c r="F86" s="92"/>
      <c r="G86" s="92"/>
      <c r="H86" s="92"/>
      <c r="I86" s="94"/>
      <c r="J86" s="92"/>
      <c r="K86" s="92"/>
      <c r="L86" s="92"/>
      <c r="M86" s="92"/>
      <c r="N86" s="92"/>
      <c r="O86" s="92"/>
      <c r="P86" s="92"/>
      <c r="Q86" s="92"/>
      <c r="R86" s="92"/>
      <c r="S86" s="92"/>
      <c r="T86" s="92"/>
      <c r="U86" s="92"/>
      <c r="V86" s="95"/>
      <c r="W86" s="92"/>
      <c r="X86" s="92"/>
      <c r="Y86" s="92"/>
      <c r="Z86" s="92"/>
      <c r="AA86" s="92"/>
      <c r="AB86" s="92"/>
      <c r="AC86" s="95"/>
      <c r="AD86" s="92"/>
      <c r="AE86" s="92"/>
      <c r="AF86" s="92"/>
      <c r="AG86" s="95"/>
      <c r="AH86" s="460"/>
      <c r="AI86" s="301"/>
      <c r="AK86" s="301"/>
      <c r="AL86" s="301"/>
      <c r="AM86" s="301"/>
      <c r="AN86" s="301"/>
      <c r="AO86" s="299"/>
      <c r="AP86" s="301"/>
      <c r="AQ86" s="301"/>
    </row>
    <row r="87" spans="2:43" ht="20.100000000000001" customHeight="1" x14ac:dyDescent="0.3">
      <c r="B87" s="92"/>
      <c r="C87" s="62" t="s">
        <v>33</v>
      </c>
      <c r="D87" s="98">
        <v>0.33300000000000002</v>
      </c>
      <c r="E87" s="415">
        <f>1*0</f>
        <v>0</v>
      </c>
      <c r="F87" s="415">
        <f>1*0</f>
        <v>0</v>
      </c>
      <c r="G87" s="98">
        <f>(7.77)*3.281</f>
        <v>25.493369999999999</v>
      </c>
      <c r="H87" s="98">
        <f>+D87</f>
        <v>0.33300000000000002</v>
      </c>
      <c r="I87" s="94">
        <v>2</v>
      </c>
      <c r="J87" s="99">
        <v>3</v>
      </c>
      <c r="K87" s="100">
        <f>+IF(D87=0.667,E87*F87*G87*H87*J87,0)</f>
        <v>0</v>
      </c>
      <c r="L87" s="100">
        <f>+IF(D87=0.333,E87*F87*G87*J87,0)</f>
        <v>0</v>
      </c>
      <c r="M87" s="99">
        <v>4</v>
      </c>
      <c r="N87" s="100">
        <f>+IF(D87=0.667,E87*F87*G87*H87*M87,0)</f>
        <v>0</v>
      </c>
      <c r="O87" s="100">
        <f>+IF(D87=0.333,E87*F87*G87*M87,0)</f>
        <v>0</v>
      </c>
      <c r="P87" s="81">
        <f t="shared" ref="P87" si="324">11.833-I87-M87-J87</f>
        <v>2.8330000000000002</v>
      </c>
      <c r="Q87" s="100">
        <f>+IF(D87=0.667,E87*F87*G87*H87*P87,0)</f>
        <v>0</v>
      </c>
      <c r="R87" s="100">
        <f>+IF(D87=0.333,E87*F87*G87*P87,0)</f>
        <v>0</v>
      </c>
      <c r="S87" s="555">
        <f t="shared" ref="S87:S97" si="325">+Q87+N87+K87</f>
        <v>0</v>
      </c>
      <c r="T87" s="101">
        <f t="shared" ref="T87:T97" si="326">+R87+O87+L87</f>
        <v>0</v>
      </c>
      <c r="U87" s="92"/>
      <c r="V87" s="91"/>
      <c r="W87" s="102"/>
      <c r="X87" s="98"/>
      <c r="Y87" s="102"/>
      <c r="Z87" s="98"/>
      <c r="AA87" s="98"/>
      <c r="AB87" s="98"/>
      <c r="AC87" s="91"/>
      <c r="AD87" s="98"/>
      <c r="AE87" s="98"/>
      <c r="AF87" s="98"/>
      <c r="AG87" s="91"/>
      <c r="AH87" s="415">
        <f>1*0</f>
        <v>0</v>
      </c>
      <c r="AI87" s="299">
        <f>+AH87*G87*D87*0.17</f>
        <v>0</v>
      </c>
      <c r="AK87" s="301">
        <f t="shared" ref="AK87:AK90" si="327">+IF(D87=0.667,E87*F87*G87,0)</f>
        <v>0</v>
      </c>
      <c r="AL87" s="301">
        <f t="shared" ref="AL87:AL90" si="328">+IF(D87=0.333,E87*F87*G87,0)</f>
        <v>0</v>
      </c>
      <c r="AM87" s="301"/>
      <c r="AN87" s="301"/>
      <c r="AO87" s="299"/>
      <c r="AP87" s="301"/>
      <c r="AQ87" s="301"/>
    </row>
    <row r="88" spans="2:43" ht="20.100000000000001" customHeight="1" x14ac:dyDescent="0.3">
      <c r="B88" s="18"/>
      <c r="C88" s="62" t="s">
        <v>34</v>
      </c>
      <c r="D88" s="98">
        <v>0.33300000000000002</v>
      </c>
      <c r="E88" s="607">
        <f>-1*0</f>
        <v>0</v>
      </c>
      <c r="F88" s="607">
        <f>2*0</f>
        <v>0</v>
      </c>
      <c r="G88" s="20">
        <v>3.25</v>
      </c>
      <c r="H88" s="20">
        <f t="shared" ref="H88" si="329">+D88</f>
        <v>0.33300000000000002</v>
      </c>
      <c r="I88" s="21"/>
      <c r="J88" s="81">
        <v>3</v>
      </c>
      <c r="K88" s="103">
        <f t="shared" ref="K88" si="330">+IF(D88=0.667,E88*F88*G88*H88*J88,0)</f>
        <v>0</v>
      </c>
      <c r="L88" s="103">
        <f t="shared" ref="L88" si="331">+IF(D88=0.333,E88*F88*G88*J88,0)</f>
        <v>0</v>
      </c>
      <c r="M88" s="81">
        <v>4</v>
      </c>
      <c r="N88" s="103">
        <f t="shared" ref="N88" si="332">+IF(D88=0.667,E88*F88*G88*H88*M88,0)</f>
        <v>0</v>
      </c>
      <c r="O88" s="103">
        <f t="shared" ref="O88" si="333">+IF(D88=0.333,E88*F88*G88*M88,0)</f>
        <v>0</v>
      </c>
      <c r="P88" s="81"/>
      <c r="Q88" s="103">
        <f t="shared" ref="Q88" si="334">+IF(D88=0.667,E88*F88*G88*H88*P88,0)</f>
        <v>0</v>
      </c>
      <c r="R88" s="103">
        <f t="shared" ref="R88" si="335">+IF(D88=0.333,E88*F88*G88*P88,0)</f>
        <v>0</v>
      </c>
      <c r="S88" s="676">
        <f t="shared" si="325"/>
        <v>0</v>
      </c>
      <c r="T88" s="104">
        <f t="shared" si="326"/>
        <v>0</v>
      </c>
      <c r="U88" s="18"/>
      <c r="V88" s="26"/>
      <c r="W88" s="21">
        <f>+G88+D88</f>
        <v>3.5830000000000002</v>
      </c>
      <c r="X88" s="21">
        <v>0.5</v>
      </c>
      <c r="Y88" s="21">
        <f>+IF(D88=0.667,-E88*F88*H88*W88*X88,0)</f>
        <v>0</v>
      </c>
      <c r="Z88" s="21">
        <f>+IF(D88=0.333,-E88*F88*H88*W88*X88,0)</f>
        <v>0</v>
      </c>
      <c r="AA88" s="21">
        <f>+F88*G88*H88</f>
        <v>0</v>
      </c>
      <c r="AB88" s="21">
        <f t="shared" ref="AB88" si="336">2*F88*W88*X88</f>
        <v>0</v>
      </c>
      <c r="AC88" s="27"/>
      <c r="AD88" s="21"/>
      <c r="AE88" s="21">
        <f t="shared" ref="AE88" si="337">+IF(D88=0.667,AD88*W88*H88*F88,0)</f>
        <v>0</v>
      </c>
      <c r="AF88" s="21">
        <f t="shared" ref="AF88" si="338">+IF(D88=0.333,AD88*W88*H88*F88,0)</f>
        <v>0</v>
      </c>
      <c r="AG88" s="27"/>
      <c r="AH88" s="396"/>
      <c r="AI88" s="21">
        <f t="shared" ref="AI88" si="339">+AH88*G88*D88*0.17</f>
        <v>0</v>
      </c>
      <c r="AK88" s="301">
        <f t="shared" si="327"/>
        <v>0</v>
      </c>
      <c r="AL88" s="301">
        <f t="shared" si="328"/>
        <v>0</v>
      </c>
      <c r="AM88" s="301"/>
      <c r="AN88" s="301">
        <f>+IF(D88=0.333,1.33,0)*0</f>
        <v>0</v>
      </c>
      <c r="AO88" s="299"/>
      <c r="AP88" s="301"/>
      <c r="AQ88" s="301"/>
    </row>
    <row r="89" spans="2:43" ht="20.100000000000001" customHeight="1" x14ac:dyDescent="0.3">
      <c r="B89" s="92"/>
      <c r="C89" s="62" t="s">
        <v>31</v>
      </c>
      <c r="D89" s="98">
        <v>0.66700000000000004</v>
      </c>
      <c r="E89" s="92">
        <v>1</v>
      </c>
      <c r="F89" s="92">
        <v>1</v>
      </c>
      <c r="G89" s="675">
        <f>(3.473*0+4.27*0+2.435)*3.281</f>
        <v>7.9892350000000008</v>
      </c>
      <c r="H89" s="98">
        <f>+D89</f>
        <v>0.66700000000000004</v>
      </c>
      <c r="I89" s="94">
        <v>2</v>
      </c>
      <c r="J89" s="99">
        <v>3</v>
      </c>
      <c r="K89" s="100">
        <f>+IF(D89=0.667,E89*F89*G89*H89*J89,0)</f>
        <v>15.986459235000002</v>
      </c>
      <c r="L89" s="100">
        <f>+IF(D89=0.333,E89*F89*G89*J89,0)</f>
        <v>0</v>
      </c>
      <c r="M89" s="99">
        <v>4</v>
      </c>
      <c r="N89" s="100">
        <f>+IF(D89=0.667,E89*F89*G89*H89*M89,0)</f>
        <v>21.315278980000002</v>
      </c>
      <c r="O89" s="100">
        <f>+IF(D89=0.333,E89*F89*G89*M89,0)</f>
        <v>0</v>
      </c>
      <c r="P89" s="81">
        <f t="shared" ref="P89:P90" si="340">11.833-I89-M89-J89</f>
        <v>2.8330000000000002</v>
      </c>
      <c r="Q89" s="100">
        <f>+IF(D89=0.667,E89*F89*G89*H89*P89,0)</f>
        <v>15.096546337585002</v>
      </c>
      <c r="R89" s="100">
        <f>+IF(D89=0.333,E89*F89*G89*P89,0)</f>
        <v>0</v>
      </c>
      <c r="S89" s="101">
        <f t="shared" si="325"/>
        <v>52.398284552585011</v>
      </c>
      <c r="T89" s="101">
        <f t="shared" si="326"/>
        <v>0</v>
      </c>
      <c r="U89" s="92"/>
      <c r="V89" s="91"/>
      <c r="W89" s="102"/>
      <c r="X89" s="98"/>
      <c r="Y89" s="102"/>
      <c r="Z89" s="98"/>
      <c r="AA89" s="98"/>
      <c r="AB89" s="98"/>
      <c r="AC89" s="91"/>
      <c r="AD89" s="98"/>
      <c r="AE89" s="98"/>
      <c r="AF89" s="98"/>
      <c r="AG89" s="91"/>
      <c r="AH89" s="460">
        <v>1</v>
      </c>
      <c r="AI89" s="299">
        <f>+AH89*G89*D89*0.17</f>
        <v>0.90589935665000021</v>
      </c>
      <c r="AK89" s="301">
        <f t="shared" si="327"/>
        <v>7.9892350000000008</v>
      </c>
      <c r="AL89" s="301">
        <f t="shared" si="328"/>
        <v>0</v>
      </c>
      <c r="AM89" s="301"/>
      <c r="AN89" s="301"/>
      <c r="AO89" s="299"/>
      <c r="AP89" s="301"/>
      <c r="AQ89" s="301"/>
    </row>
    <row r="90" spans="2:43" ht="20.100000000000001" customHeight="1" x14ac:dyDescent="0.3">
      <c r="B90" s="92"/>
      <c r="C90" s="62" t="s">
        <v>32</v>
      </c>
      <c r="D90" s="98">
        <v>0.66700000000000004</v>
      </c>
      <c r="E90" s="92">
        <v>1</v>
      </c>
      <c r="F90" s="92">
        <v>1</v>
      </c>
      <c r="G90" s="675">
        <f>(2.351*0+3.154*0+6.87)*3.281</f>
        <v>22.540470000000003</v>
      </c>
      <c r="H90" s="98">
        <f>+D90</f>
        <v>0.66700000000000004</v>
      </c>
      <c r="I90" s="94">
        <v>2</v>
      </c>
      <c r="J90" s="99">
        <v>3</v>
      </c>
      <c r="K90" s="100">
        <f>+IF(D90=0.667,E90*F90*G90*H90*J90,0)</f>
        <v>45.103480470000008</v>
      </c>
      <c r="L90" s="100">
        <f>+IF(D90=0.333,E90*F90*G90*J90,0)</f>
        <v>0</v>
      </c>
      <c r="M90" s="99">
        <v>4</v>
      </c>
      <c r="N90" s="100">
        <f>+IF(D90=0.667,E90*F90*G90*H90*M90,0)</f>
        <v>60.137973960000011</v>
      </c>
      <c r="O90" s="100">
        <f>+IF(D90=0.333,E90*F90*G90*M90,0)</f>
        <v>0</v>
      </c>
      <c r="P90" s="81">
        <f t="shared" si="340"/>
        <v>2.8330000000000002</v>
      </c>
      <c r="Q90" s="100">
        <f>+IF(D90=0.667,E90*F90*G90*H90*P90,0)</f>
        <v>42.592720057170013</v>
      </c>
      <c r="R90" s="100">
        <f>+IF(D90=0.333,E90*F90*G90*P90,0)</f>
        <v>0</v>
      </c>
      <c r="S90" s="101">
        <f t="shared" si="325"/>
        <v>147.83417448717003</v>
      </c>
      <c r="T90" s="101">
        <f t="shared" si="326"/>
        <v>0</v>
      </c>
      <c r="U90" s="92"/>
      <c r="V90" s="91"/>
      <c r="W90" s="102"/>
      <c r="X90" s="98"/>
      <c r="Y90" s="102"/>
      <c r="Z90" s="98"/>
      <c r="AA90" s="98"/>
      <c r="AB90" s="98"/>
      <c r="AC90" s="91"/>
      <c r="AD90" s="98"/>
      <c r="AE90" s="98"/>
      <c r="AF90" s="98"/>
      <c r="AG90" s="91"/>
      <c r="AH90" s="460">
        <v>1</v>
      </c>
      <c r="AI90" s="299">
        <f>+AH90*G90*D90*0.17</f>
        <v>2.5558638933000006</v>
      </c>
      <c r="AK90" s="301">
        <f t="shared" si="327"/>
        <v>22.540470000000003</v>
      </c>
      <c r="AL90" s="301">
        <f t="shared" si="328"/>
        <v>0</v>
      </c>
      <c r="AM90" s="301"/>
      <c r="AN90" s="301"/>
      <c r="AO90" s="299"/>
      <c r="AP90" s="301"/>
      <c r="AQ90" s="301"/>
    </row>
    <row r="91" spans="2:43" ht="20.100000000000001" customHeight="1" x14ac:dyDescent="0.3">
      <c r="B91" s="18"/>
      <c r="C91" s="62" t="s">
        <v>48</v>
      </c>
      <c r="D91" s="298">
        <v>0.66700000000000004</v>
      </c>
      <c r="E91" s="18">
        <v>-1</v>
      </c>
      <c r="F91" s="18">
        <v>2</v>
      </c>
      <c r="G91" s="675">
        <v>5</v>
      </c>
      <c r="H91" s="20">
        <f t="shared" ref="H91:H92" si="341">+D91</f>
        <v>0.66700000000000004</v>
      </c>
      <c r="I91" s="21"/>
      <c r="J91" s="81"/>
      <c r="K91" s="103">
        <f t="shared" ref="K91:K92" si="342">+IF(D91=0.667,E91*F91*G91*H91*J91,0)</f>
        <v>0</v>
      </c>
      <c r="L91" s="103">
        <f t="shared" ref="L91:L92" si="343">+IF(D91=0.333,E91*F91*G91*J91,0)</f>
        <v>0</v>
      </c>
      <c r="M91" s="81">
        <v>2.25</v>
      </c>
      <c r="N91" s="103">
        <f t="shared" ref="N91:N92" si="344">+IF(D91=0.667,E91*F91*G91*H91*M91,0)</f>
        <v>-15.0075</v>
      </c>
      <c r="O91" s="103">
        <f t="shared" ref="O91:O92" si="345">+IF(D91=0.333,E91*F91*G91*M91,0)</f>
        <v>0</v>
      </c>
      <c r="P91" s="81"/>
      <c r="Q91" s="103">
        <f t="shared" ref="Q91:Q92" si="346">+IF(D91=0.667,E91*F91*G91*H91*P91,0)</f>
        <v>0</v>
      </c>
      <c r="R91" s="103">
        <f t="shared" ref="R91:R92" si="347">+IF(D91=0.333,E91*F91*G91*P91,0)</f>
        <v>0</v>
      </c>
      <c r="S91" s="104">
        <f t="shared" si="325"/>
        <v>-15.0075</v>
      </c>
      <c r="T91" s="104">
        <f t="shared" si="326"/>
        <v>0</v>
      </c>
      <c r="U91" s="18"/>
      <c r="V91" s="26"/>
      <c r="W91" s="225">
        <f>+G91+D91</f>
        <v>5.6669999999999998</v>
      </c>
      <c r="X91" s="225">
        <v>0.5</v>
      </c>
      <c r="Y91" s="225">
        <f>+IF(D91=0.667,-E91*F91*H91*W91*X91,0)</f>
        <v>3.7798890000000003</v>
      </c>
      <c r="Z91" s="225">
        <f>+IF(D91=0.333,-E91*F91*H91*W91*X91,0)</f>
        <v>0</v>
      </c>
      <c r="AA91" s="225">
        <f>+F91*G91*H91</f>
        <v>6.67</v>
      </c>
      <c r="AB91" s="225">
        <f t="shared" ref="AB91:AB92" si="348">2*F91*W91*X91</f>
        <v>11.334</v>
      </c>
      <c r="AC91" s="27"/>
      <c r="AD91" s="21">
        <v>0.16700000000000001</v>
      </c>
      <c r="AE91" s="21">
        <f t="shared" ref="AE91:AE92" si="349">+IF(D91=0.667,AD91*W91*H91*F91,0)</f>
        <v>1.2624829260000001</v>
      </c>
      <c r="AF91" s="21">
        <f t="shared" ref="AF91:AF92" si="350">+IF(D91=0.333,AD91*W91*H91*F91,0)</f>
        <v>0</v>
      </c>
      <c r="AG91" s="27"/>
      <c r="AH91" s="396"/>
      <c r="AI91" s="21">
        <f t="shared" ref="AI91:AI92" si="351">+AH91*G91*D91*0.17</f>
        <v>0</v>
      </c>
      <c r="AK91" s="301"/>
      <c r="AL91" s="301"/>
      <c r="AM91" s="301"/>
      <c r="AN91" s="301"/>
      <c r="AO91" s="299"/>
      <c r="AP91" s="301"/>
      <c r="AQ91" s="301"/>
    </row>
    <row r="92" spans="2:43" ht="20.100000000000001" customHeight="1" x14ac:dyDescent="0.3">
      <c r="B92" s="18"/>
      <c r="C92" s="62" t="s">
        <v>562</v>
      </c>
      <c r="D92" s="298">
        <v>0.66700000000000004</v>
      </c>
      <c r="E92" s="18">
        <v>-1</v>
      </c>
      <c r="F92" s="18">
        <v>1</v>
      </c>
      <c r="G92" s="675">
        <v>3.3330000000000002</v>
      </c>
      <c r="H92" s="20">
        <f t="shared" si="341"/>
        <v>0.66700000000000004</v>
      </c>
      <c r="I92" s="21"/>
      <c r="J92" s="81"/>
      <c r="K92" s="103">
        <f t="shared" si="342"/>
        <v>0</v>
      </c>
      <c r="L92" s="103">
        <f t="shared" si="343"/>
        <v>0</v>
      </c>
      <c r="M92" s="81">
        <v>3</v>
      </c>
      <c r="N92" s="103">
        <f t="shared" si="344"/>
        <v>-6.6693330000000008</v>
      </c>
      <c r="O92" s="103">
        <f t="shared" si="345"/>
        <v>0</v>
      </c>
      <c r="P92" s="81">
        <v>3.25</v>
      </c>
      <c r="Q92" s="103">
        <f t="shared" si="346"/>
        <v>-7.2251107500000007</v>
      </c>
      <c r="R92" s="103">
        <f t="shared" si="347"/>
        <v>0</v>
      </c>
      <c r="S92" s="104">
        <f t="shared" si="325"/>
        <v>-13.894443750000001</v>
      </c>
      <c r="T92" s="104">
        <f t="shared" si="326"/>
        <v>0</v>
      </c>
      <c r="U92" s="18"/>
      <c r="V92" s="26"/>
      <c r="W92" s="225">
        <f>+G92+D92</f>
        <v>4</v>
      </c>
      <c r="X92" s="225">
        <v>0.5</v>
      </c>
      <c r="Y92" s="225">
        <f>+IF(D92=0.667,-E92*F92*H92*W92*X92,0)</f>
        <v>1.3340000000000001</v>
      </c>
      <c r="Z92" s="225">
        <f>+IF(D92=0.333,-E92*F92*H92*W92*X92,0)</f>
        <v>0</v>
      </c>
      <c r="AA92" s="225">
        <f>+F92*G92*H92</f>
        <v>2.2231110000000003</v>
      </c>
      <c r="AB92" s="225">
        <f t="shared" si="348"/>
        <v>4</v>
      </c>
      <c r="AC92" s="27"/>
      <c r="AD92" s="21">
        <v>0.16700000000000001</v>
      </c>
      <c r="AE92" s="21">
        <f t="shared" si="349"/>
        <v>0.44555600000000006</v>
      </c>
      <c r="AF92" s="21">
        <f t="shared" si="350"/>
        <v>0</v>
      </c>
      <c r="AG92" s="27"/>
      <c r="AH92" s="396"/>
      <c r="AI92" s="21">
        <f t="shared" si="351"/>
        <v>0</v>
      </c>
      <c r="AK92" s="301"/>
      <c r="AL92" s="301"/>
      <c r="AM92" s="301"/>
      <c r="AN92" s="301"/>
      <c r="AO92" s="299"/>
      <c r="AP92" s="301"/>
      <c r="AQ92" s="301"/>
    </row>
    <row r="93" spans="2:43" ht="20.100000000000001" customHeight="1" x14ac:dyDescent="0.3">
      <c r="B93" s="92"/>
      <c r="C93" s="62" t="s">
        <v>38</v>
      </c>
      <c r="D93" s="98">
        <v>0.66700000000000004</v>
      </c>
      <c r="E93" s="415">
        <f t="shared" ref="E93:F95" si="352">1*0</f>
        <v>0</v>
      </c>
      <c r="F93" s="415">
        <f t="shared" si="352"/>
        <v>0</v>
      </c>
      <c r="G93" s="98">
        <f>(3.467+7.005)*3.281</f>
        <v>34.358632</v>
      </c>
      <c r="H93" s="98">
        <f>+D93</f>
        <v>0.66700000000000004</v>
      </c>
      <c r="I93" s="94">
        <v>2</v>
      </c>
      <c r="J93" s="99">
        <v>3</v>
      </c>
      <c r="K93" s="100">
        <f>+IF(D93=0.667,E93*F93*G93*H93*J93,0)</f>
        <v>0</v>
      </c>
      <c r="L93" s="100">
        <f>+IF(D93=0.333,E93*F93*G93*J93,0)</f>
        <v>0</v>
      </c>
      <c r="M93" s="99">
        <v>4</v>
      </c>
      <c r="N93" s="100">
        <f>+IF(D93=0.667,E93*F93*G93*H93*M93,0)</f>
        <v>0</v>
      </c>
      <c r="O93" s="100">
        <f>+IF(D93=0.333,E93*F93*G93*M93,0)</f>
        <v>0</v>
      </c>
      <c r="P93" s="81">
        <f t="shared" ref="P93:P95" si="353">11.833-I93-M93-J93</f>
        <v>2.8330000000000002</v>
      </c>
      <c r="Q93" s="100">
        <f>+IF(D93=0.667,E93*F93*G93*H93*P93,0)</f>
        <v>0</v>
      </c>
      <c r="R93" s="100">
        <f>+IF(D93=0.333,E93*F93*G93*P93,0)</f>
        <v>0</v>
      </c>
      <c r="S93" s="555">
        <f t="shared" si="325"/>
        <v>0</v>
      </c>
      <c r="T93" s="101">
        <f t="shared" si="326"/>
        <v>0</v>
      </c>
      <c r="U93" s="92"/>
      <c r="V93" s="91"/>
      <c r="W93" s="102"/>
      <c r="X93" s="98"/>
      <c r="Y93" s="102"/>
      <c r="Z93" s="98"/>
      <c r="AA93" s="98"/>
      <c r="AB93" s="98"/>
      <c r="AC93" s="91"/>
      <c r="AD93" s="98"/>
      <c r="AE93" s="98"/>
      <c r="AF93" s="98"/>
      <c r="AG93" s="91"/>
      <c r="AH93" s="415">
        <f>1*0</f>
        <v>0</v>
      </c>
      <c r="AI93" s="299">
        <f>+AH93*G93*D93*0.17</f>
        <v>0</v>
      </c>
      <c r="AK93" s="301">
        <f t="shared" ref="AK93:AK95" si="354">+IF(D93=0.667,E93*F93*G93,0)</f>
        <v>0</v>
      </c>
      <c r="AL93" s="301">
        <f t="shared" ref="AL93:AL95" si="355">+IF(D93=0.333,E93*F93*G93,0)</f>
        <v>0</v>
      </c>
      <c r="AM93" s="301"/>
      <c r="AN93" s="301"/>
      <c r="AO93" s="299"/>
      <c r="AP93" s="301"/>
      <c r="AQ93" s="301"/>
    </row>
    <row r="94" spans="2:43" ht="25.5" customHeight="1" x14ac:dyDescent="0.3">
      <c r="B94" s="92"/>
      <c r="C94" s="62" t="s">
        <v>339</v>
      </c>
      <c r="D94" s="98">
        <v>0.66700000000000004</v>
      </c>
      <c r="E94" s="415">
        <f t="shared" si="352"/>
        <v>0</v>
      </c>
      <c r="F94" s="415">
        <f t="shared" si="352"/>
        <v>0</v>
      </c>
      <c r="G94" s="98">
        <f>(9.66)*3.281</f>
        <v>31.694460000000003</v>
      </c>
      <c r="H94" s="98">
        <f>+D94</f>
        <v>0.66700000000000004</v>
      </c>
      <c r="I94" s="94">
        <v>2</v>
      </c>
      <c r="J94" s="99">
        <v>3</v>
      </c>
      <c r="K94" s="100">
        <f>+IF(D94=0.667,E94*F94*G94*H94*J94,0)</f>
        <v>0</v>
      </c>
      <c r="L94" s="100">
        <f>+IF(D94=0.333,E94*F94*G94*J94,0)</f>
        <v>0</v>
      </c>
      <c r="M94" s="99">
        <v>4</v>
      </c>
      <c r="N94" s="100">
        <f>+IF(D94=0.667,E94*F94*G94*H94*M94,0)</f>
        <v>0</v>
      </c>
      <c r="O94" s="100">
        <f>+IF(D94=0.333,E94*F94*G94*M94,0)</f>
        <v>0</v>
      </c>
      <c r="P94" s="81">
        <f t="shared" si="353"/>
        <v>2.8330000000000002</v>
      </c>
      <c r="Q94" s="100">
        <f>+IF(D94=0.667,E94*F94*G94*H94*P94,0)</f>
        <v>0</v>
      </c>
      <c r="R94" s="100">
        <f>+IF(D94=0.333,E94*F94*G94*P94,0)</f>
        <v>0</v>
      </c>
      <c r="S94" s="555">
        <f t="shared" si="325"/>
        <v>0</v>
      </c>
      <c r="T94" s="101">
        <f t="shared" si="326"/>
        <v>0</v>
      </c>
      <c r="U94" s="92"/>
      <c r="V94" s="91"/>
      <c r="W94" s="102"/>
      <c r="X94" s="98"/>
      <c r="Y94" s="102"/>
      <c r="Z94" s="98"/>
      <c r="AA94" s="98"/>
      <c r="AB94" s="98"/>
      <c r="AC94" s="91"/>
      <c r="AD94" s="98"/>
      <c r="AE94" s="98"/>
      <c r="AF94" s="98"/>
      <c r="AG94" s="91"/>
      <c r="AH94" s="415">
        <f>1*0</f>
        <v>0</v>
      </c>
      <c r="AI94" s="299">
        <f>+AH94*G94*D94*0.17</f>
        <v>0</v>
      </c>
      <c r="AK94" s="301">
        <f t="shared" si="354"/>
        <v>0</v>
      </c>
      <c r="AL94" s="301">
        <f t="shared" si="355"/>
        <v>0</v>
      </c>
      <c r="AM94" s="301"/>
      <c r="AN94" s="301"/>
      <c r="AO94" s="299"/>
      <c r="AP94" s="301"/>
      <c r="AQ94" s="301"/>
    </row>
    <row r="95" spans="2:43" ht="20.100000000000001" customHeight="1" x14ac:dyDescent="0.3">
      <c r="B95" s="18"/>
      <c r="C95" s="62" t="s">
        <v>43</v>
      </c>
      <c r="D95" s="298">
        <v>0.66700000000000004</v>
      </c>
      <c r="E95" s="415">
        <f t="shared" si="352"/>
        <v>0</v>
      </c>
      <c r="F95" s="415">
        <f t="shared" si="352"/>
        <v>0</v>
      </c>
      <c r="G95" s="20">
        <f>(2.08+2.08+1.365)*3.281</f>
        <v>18.127525000000002</v>
      </c>
      <c r="H95" s="20">
        <f>+D95</f>
        <v>0.66700000000000004</v>
      </c>
      <c r="I95" s="21">
        <v>2</v>
      </c>
      <c r="J95" s="81">
        <v>3</v>
      </c>
      <c r="K95" s="103">
        <f>+IF(D95=0.667,E95*F95*G95*H95*J95,0)</f>
        <v>0</v>
      </c>
      <c r="L95" s="103">
        <f>+IF(D95=0.333,E95*F95*G95*J95,0)</f>
        <v>0</v>
      </c>
      <c r="M95" s="81">
        <v>4</v>
      </c>
      <c r="N95" s="103">
        <f>+IF(D95=0.667,E95*F95*G95*H95*M95,0)</f>
        <v>0</v>
      </c>
      <c r="O95" s="103">
        <f>+IF(D95=0.333,E95*F95*G95*M95,0)</f>
        <v>0</v>
      </c>
      <c r="P95" s="81">
        <f t="shared" si="353"/>
        <v>2.8330000000000002</v>
      </c>
      <c r="Q95" s="103">
        <f>+IF(D95=0.667,E95*F95*G95*H95*P95,0)</f>
        <v>0</v>
      </c>
      <c r="R95" s="103">
        <f>+IF(D95=0.333,E95*F95*G95*P95,0)</f>
        <v>0</v>
      </c>
      <c r="S95" s="676">
        <f t="shared" si="325"/>
        <v>0</v>
      </c>
      <c r="T95" s="104">
        <f t="shared" si="326"/>
        <v>0</v>
      </c>
      <c r="U95" s="18"/>
      <c r="V95" s="26"/>
      <c r="W95" s="21"/>
      <c r="X95" s="21"/>
      <c r="Y95" s="21"/>
      <c r="Z95" s="21"/>
      <c r="AA95" s="21"/>
      <c r="AB95" s="21"/>
      <c r="AC95" s="27"/>
      <c r="AD95" s="21"/>
      <c r="AE95" s="21"/>
      <c r="AF95" s="21"/>
      <c r="AG95" s="27"/>
      <c r="AH95" s="415">
        <f>1*0</f>
        <v>0</v>
      </c>
      <c r="AI95" s="21">
        <f>+AH95*G95*D95*0.17</f>
        <v>0</v>
      </c>
      <c r="AK95" s="301">
        <f t="shared" si="354"/>
        <v>0</v>
      </c>
      <c r="AL95" s="301">
        <f t="shared" si="355"/>
        <v>0</v>
      </c>
      <c r="AM95" s="301"/>
      <c r="AN95" s="301"/>
      <c r="AO95" s="299"/>
      <c r="AP95" s="301"/>
      <c r="AQ95" s="301"/>
    </row>
    <row r="96" spans="2:43" ht="20.100000000000001" customHeight="1" x14ac:dyDescent="0.3">
      <c r="B96" s="18"/>
      <c r="C96" s="62" t="s">
        <v>246</v>
      </c>
      <c r="D96" s="298">
        <v>0.66700000000000004</v>
      </c>
      <c r="E96" s="607">
        <f>-1*0</f>
        <v>0</v>
      </c>
      <c r="F96" s="607">
        <f>2*0</f>
        <v>0</v>
      </c>
      <c r="G96" s="20">
        <v>2</v>
      </c>
      <c r="H96" s="20">
        <f t="shared" ref="H96" si="356">+D96</f>
        <v>0.66700000000000004</v>
      </c>
      <c r="I96" s="21"/>
      <c r="J96" s="81"/>
      <c r="K96" s="103">
        <f t="shared" ref="K96" si="357">+IF(D96=0.667,E96*F96*G96*H96*J96,0)</f>
        <v>0</v>
      </c>
      <c r="L96" s="103">
        <f t="shared" ref="L96" si="358">+IF(D96=0.333,E96*F96*G96*J96,0)</f>
        <v>0</v>
      </c>
      <c r="M96" s="81">
        <v>0</v>
      </c>
      <c r="N96" s="103">
        <f t="shared" ref="N96" si="359">+IF(D96=0.667,E96*F96*G96*H96*M96,0)</f>
        <v>0</v>
      </c>
      <c r="O96" s="103">
        <f t="shared" ref="O96" si="360">+IF(D96=0.333,E96*F96*G96*M96,0)</f>
        <v>0</v>
      </c>
      <c r="P96" s="81">
        <v>2</v>
      </c>
      <c r="Q96" s="103">
        <f t="shared" ref="Q96" si="361">+IF(D96=0.667,E96*F96*G96*H96*P96,0)</f>
        <v>0</v>
      </c>
      <c r="R96" s="103">
        <f t="shared" ref="R96" si="362">+IF(D96=0.333,E96*F96*G96*P96,0)</f>
        <v>0</v>
      </c>
      <c r="S96" s="676">
        <f t="shared" si="325"/>
        <v>0</v>
      </c>
      <c r="T96" s="104">
        <f t="shared" si="326"/>
        <v>0</v>
      </c>
      <c r="U96" s="18"/>
      <c r="V96" s="26"/>
      <c r="W96" s="21">
        <f>+G96+D96</f>
        <v>2.6669999999999998</v>
      </c>
      <c r="X96" s="21">
        <v>0.5</v>
      </c>
      <c r="Y96" s="21">
        <f>+IF(D96=0.667,-E96*F96*H96*W96*X96,0)</f>
        <v>0</v>
      </c>
      <c r="Z96" s="21">
        <f>+IF(D96=0.333,-E96*F96*H96*W96*X96,0)</f>
        <v>0</v>
      </c>
      <c r="AA96" s="21">
        <f>+F96*G96*H96</f>
        <v>0</v>
      </c>
      <c r="AB96" s="21">
        <f t="shared" ref="AB96" si="363">2*F96*W96*X96</f>
        <v>0</v>
      </c>
      <c r="AC96" s="27"/>
      <c r="AD96" s="21">
        <v>0.16700000000000001</v>
      </c>
      <c r="AE96" s="21">
        <f t="shared" ref="AE96" si="364">+IF(D96=0.667,AD96*W96*H96*F96,0)</f>
        <v>0</v>
      </c>
      <c r="AF96" s="21">
        <f t="shared" ref="AF96" si="365">+IF(D96=0.333,AD96*W96*H96*F96,0)</f>
        <v>0</v>
      </c>
      <c r="AG96" s="27"/>
      <c r="AH96" s="396"/>
      <c r="AI96" s="21">
        <f t="shared" ref="AI96" si="366">+AH96*G96*D96*0.17</f>
        <v>0</v>
      </c>
      <c r="AK96" s="301"/>
      <c r="AL96" s="301"/>
      <c r="AM96" s="301"/>
      <c r="AN96" s="301"/>
      <c r="AO96" s="299"/>
      <c r="AP96" s="301"/>
      <c r="AQ96" s="301"/>
    </row>
    <row r="97" spans="2:43" ht="24" customHeight="1" x14ac:dyDescent="0.3">
      <c r="B97" s="92"/>
      <c r="C97" s="62" t="s">
        <v>340</v>
      </c>
      <c r="D97" s="98">
        <v>0.33300000000000002</v>
      </c>
      <c r="E97" s="415">
        <f>1*0</f>
        <v>0</v>
      </c>
      <c r="F97" s="415">
        <f>1*0</f>
        <v>0</v>
      </c>
      <c r="G97" s="98">
        <f>(3.985)*3.281</f>
        <v>13.074785</v>
      </c>
      <c r="H97" s="98">
        <f>+D97</f>
        <v>0.33300000000000002</v>
      </c>
      <c r="I97" s="94">
        <v>2</v>
      </c>
      <c r="J97" s="99">
        <v>3</v>
      </c>
      <c r="K97" s="100">
        <f>+IF(D97=0.667,E97*F97*G97*H97*J97,0)</f>
        <v>0</v>
      </c>
      <c r="L97" s="100">
        <f>+IF(D97=0.333,E97*F97*G97*J97,0)</f>
        <v>0</v>
      </c>
      <c r="M97" s="99">
        <v>4</v>
      </c>
      <c r="N97" s="100">
        <f>+IF(D97=0.667,E97*F97*G97*H97*M97,0)</f>
        <v>0</v>
      </c>
      <c r="O97" s="100">
        <f>+IF(D97=0.333,E97*F97*G97*M97,0)</f>
        <v>0</v>
      </c>
      <c r="P97" s="81">
        <f t="shared" ref="P97:P98" si="367">11.833-I97-M97-J97</f>
        <v>2.8330000000000002</v>
      </c>
      <c r="Q97" s="100">
        <f>+IF(D97=0.667,E97*F97*G97*H97*P97,0)</f>
        <v>0</v>
      </c>
      <c r="R97" s="100">
        <f>+IF(D97=0.333,E97*F97*G97*P97,0)</f>
        <v>0</v>
      </c>
      <c r="S97" s="555">
        <f t="shared" si="325"/>
        <v>0</v>
      </c>
      <c r="T97" s="101">
        <f t="shared" si="326"/>
        <v>0</v>
      </c>
      <c r="U97" s="92"/>
      <c r="V97" s="91"/>
      <c r="W97" s="102"/>
      <c r="X97" s="98"/>
      <c r="Y97" s="102"/>
      <c r="Z97" s="98"/>
      <c r="AA97" s="98"/>
      <c r="AB97" s="98"/>
      <c r="AC97" s="91"/>
      <c r="AD97" s="98"/>
      <c r="AE97" s="98"/>
      <c r="AF97" s="98"/>
      <c r="AG97" s="91"/>
      <c r="AH97" s="415">
        <f>1*0</f>
        <v>0</v>
      </c>
      <c r="AI97" s="299">
        <f>+AH97*G97*D97*0.17</f>
        <v>0</v>
      </c>
      <c r="AK97" s="301">
        <f t="shared" ref="AK97" si="368">+IF(D97=0.667,E97*F97*G97,0)</f>
        <v>0</v>
      </c>
      <c r="AL97" s="301">
        <f t="shared" ref="AL97" si="369">+IF(D97=0.333,E97*F97*G97,0)</f>
        <v>0</v>
      </c>
      <c r="AM97" s="301"/>
      <c r="AN97" s="301"/>
      <c r="AO97" s="299"/>
      <c r="AP97" s="301"/>
      <c r="AQ97" s="301"/>
    </row>
    <row r="98" spans="2:43" ht="24" customHeight="1" x14ac:dyDescent="0.3">
      <c r="B98" s="92"/>
      <c r="C98" s="62" t="s">
        <v>340</v>
      </c>
      <c r="D98" s="98">
        <v>0.33300000000000002</v>
      </c>
      <c r="E98" s="415">
        <f>1*0</f>
        <v>0</v>
      </c>
      <c r="F98" s="415">
        <f>1*0</f>
        <v>0</v>
      </c>
      <c r="G98" s="98">
        <f>(0.65+2.235+2.235+3.492+3.05)*3.281</f>
        <v>38.263021999999999</v>
      </c>
      <c r="H98" s="98">
        <f>+D98</f>
        <v>0.33300000000000002</v>
      </c>
      <c r="I98" s="94">
        <v>2</v>
      </c>
      <c r="J98" s="99">
        <v>3</v>
      </c>
      <c r="K98" s="100">
        <f>+IF(D98=0.667,E98*F98*G98*H98*J98,0)</f>
        <v>0</v>
      </c>
      <c r="L98" s="100">
        <f>+IF(D98=0.333,E98*F98*G98*J98,0)</f>
        <v>0</v>
      </c>
      <c r="M98" s="99">
        <v>4</v>
      </c>
      <c r="N98" s="100">
        <f>+IF(D98=0.667,E98*F98*G98*H98*M98,0)</f>
        <v>0</v>
      </c>
      <c r="O98" s="100">
        <f>+IF(D98=0.333,E98*F98*G98*M98,0)</f>
        <v>0</v>
      </c>
      <c r="P98" s="81">
        <f t="shared" si="367"/>
        <v>2.8330000000000002</v>
      </c>
      <c r="Q98" s="100">
        <f>+IF(D98=0.667,E98*F98*G98*H98*P98,0)</f>
        <v>0</v>
      </c>
      <c r="R98" s="100">
        <f>+IF(D98=0.333,E98*F98*G98*P98,0)</f>
        <v>0</v>
      </c>
      <c r="S98" s="555">
        <f t="shared" ref="S98:S105" si="370">+Q98+N98+K98</f>
        <v>0</v>
      </c>
      <c r="T98" s="101">
        <f t="shared" ref="T98:T105" si="371">+R98+O98+L98</f>
        <v>0</v>
      </c>
      <c r="U98" s="92"/>
      <c r="V98" s="91"/>
      <c r="W98" s="102"/>
      <c r="X98" s="98"/>
      <c r="Y98" s="102"/>
      <c r="Z98" s="98"/>
      <c r="AA98" s="98"/>
      <c r="AB98" s="98"/>
      <c r="AC98" s="91"/>
      <c r="AD98" s="98"/>
      <c r="AE98" s="98"/>
      <c r="AF98" s="98"/>
      <c r="AG98" s="91"/>
      <c r="AH98" s="415">
        <f>1*0</f>
        <v>0</v>
      </c>
      <c r="AI98" s="299">
        <f>+AH98*G98*D98*0.17</f>
        <v>0</v>
      </c>
      <c r="AK98" s="301">
        <f t="shared" ref="AK98:AK105" si="372">+IF(D98=0.667,E98*F98*G98,0)</f>
        <v>0</v>
      </c>
      <c r="AL98" s="301">
        <f t="shared" ref="AL98:AL103" si="373">+IF(D98=0.333,E98*F98*G98,0)</f>
        <v>0</v>
      </c>
      <c r="AM98" s="301"/>
      <c r="AN98" s="301"/>
      <c r="AO98" s="299"/>
      <c r="AP98" s="301"/>
      <c r="AQ98" s="301"/>
    </row>
    <row r="99" spans="2:43" ht="20.100000000000001" customHeight="1" x14ac:dyDescent="0.3">
      <c r="B99" s="18"/>
      <c r="C99" s="62" t="s">
        <v>337</v>
      </c>
      <c r="D99" s="98">
        <v>0.33300000000000002</v>
      </c>
      <c r="E99" s="607">
        <f>-1*0</f>
        <v>0</v>
      </c>
      <c r="F99" s="607">
        <f>2*0</f>
        <v>0</v>
      </c>
      <c r="G99" s="20">
        <v>2.5</v>
      </c>
      <c r="H99" s="20">
        <f t="shared" ref="H99:H100" si="374">+D99</f>
        <v>0.33300000000000002</v>
      </c>
      <c r="I99" s="21"/>
      <c r="J99" s="81">
        <v>3</v>
      </c>
      <c r="K99" s="103">
        <f t="shared" ref="K99:K100" si="375">+IF(D99=0.667,E99*F99*G99*H99*J99,0)</f>
        <v>0</v>
      </c>
      <c r="L99" s="103">
        <f t="shared" ref="L99:L100" si="376">+IF(D99=0.333,E99*F99*G99*J99,0)</f>
        <v>0</v>
      </c>
      <c r="M99" s="81">
        <v>3</v>
      </c>
      <c r="N99" s="103">
        <f t="shared" ref="N99:N100" si="377">+IF(D99=0.667,E99*F99*G99*H99*M99,0)</f>
        <v>0</v>
      </c>
      <c r="O99" s="103">
        <f t="shared" ref="O99:O100" si="378">+IF(D99=0.333,E99*F99*G99*M99,0)</f>
        <v>0</v>
      </c>
      <c r="P99" s="81"/>
      <c r="Q99" s="103">
        <f t="shared" ref="Q99:Q100" si="379">+IF(D99=0.667,E99*F99*G99*H99*P99,0)</f>
        <v>0</v>
      </c>
      <c r="R99" s="103">
        <f t="shared" ref="R99:R100" si="380">+IF(D99=0.333,E99*F99*G99*P99,0)</f>
        <v>0</v>
      </c>
      <c r="S99" s="676">
        <f t="shared" si="370"/>
        <v>0</v>
      </c>
      <c r="T99" s="104">
        <f t="shared" si="371"/>
        <v>0</v>
      </c>
      <c r="U99" s="18"/>
      <c r="V99" s="26"/>
      <c r="W99" s="21">
        <f>+G99+D99</f>
        <v>2.8330000000000002</v>
      </c>
      <c r="X99" s="21">
        <v>0.5</v>
      </c>
      <c r="Y99" s="21">
        <f>+IF(D99=0.667,-E99*F99*H99*W99*X99,0)</f>
        <v>0</v>
      </c>
      <c r="Z99" s="21">
        <f>+IF(D99=0.333,-E99*F99*H99*W99*X99,0)</f>
        <v>0</v>
      </c>
      <c r="AA99" s="21">
        <f>+F99*G99*H99</f>
        <v>0</v>
      </c>
      <c r="AB99" s="21">
        <f t="shared" ref="AB99:AB100" si="381">2*F99*W99*X99</f>
        <v>0</v>
      </c>
      <c r="AC99" s="27"/>
      <c r="AD99" s="21"/>
      <c r="AE99" s="21">
        <f t="shared" ref="AE99:AE100" si="382">+IF(D99=0.667,AD99*W99*H99*F99,0)</f>
        <v>0</v>
      </c>
      <c r="AF99" s="21">
        <f t="shared" ref="AF99:AF100" si="383">+IF(D99=0.333,AD99*W99*H99*F99,0)</f>
        <v>0</v>
      </c>
      <c r="AG99" s="27"/>
      <c r="AH99" s="396"/>
      <c r="AI99" s="21">
        <f t="shared" ref="AI99:AI100" si="384">+AH99*G99*D99*0.17</f>
        <v>0</v>
      </c>
      <c r="AK99" s="301">
        <f t="shared" si="372"/>
        <v>0</v>
      </c>
      <c r="AL99" s="301">
        <f t="shared" si="373"/>
        <v>0</v>
      </c>
      <c r="AM99" s="301"/>
      <c r="AN99" s="301">
        <f>+IF(D99=0.333,1.33,0)*0</f>
        <v>0</v>
      </c>
      <c r="AO99" s="299"/>
      <c r="AP99" s="301"/>
      <c r="AQ99" s="301"/>
    </row>
    <row r="100" spans="2:43" ht="20.100000000000001" customHeight="1" x14ac:dyDescent="0.3">
      <c r="B100" s="18"/>
      <c r="C100" s="62" t="s">
        <v>341</v>
      </c>
      <c r="D100" s="98">
        <v>0.33300000000000002</v>
      </c>
      <c r="E100" s="607">
        <f>-1*0</f>
        <v>0</v>
      </c>
      <c r="F100" s="607">
        <f>1*0</f>
        <v>0</v>
      </c>
      <c r="G100" s="20">
        <v>3.25</v>
      </c>
      <c r="H100" s="20">
        <f t="shared" si="374"/>
        <v>0.33300000000000002</v>
      </c>
      <c r="I100" s="21"/>
      <c r="J100" s="81">
        <v>3</v>
      </c>
      <c r="K100" s="103">
        <f t="shared" si="375"/>
        <v>0</v>
      </c>
      <c r="L100" s="103">
        <f t="shared" si="376"/>
        <v>0</v>
      </c>
      <c r="M100" s="81">
        <v>3</v>
      </c>
      <c r="N100" s="103">
        <f t="shared" si="377"/>
        <v>0</v>
      </c>
      <c r="O100" s="103">
        <f t="shared" si="378"/>
        <v>0</v>
      </c>
      <c r="P100" s="81"/>
      <c r="Q100" s="103">
        <f t="shared" si="379"/>
        <v>0</v>
      </c>
      <c r="R100" s="103">
        <f t="shared" si="380"/>
        <v>0</v>
      </c>
      <c r="S100" s="676">
        <f t="shared" si="370"/>
        <v>0</v>
      </c>
      <c r="T100" s="104">
        <f t="shared" si="371"/>
        <v>0</v>
      </c>
      <c r="U100" s="18"/>
      <c r="V100" s="26"/>
      <c r="W100" s="21">
        <f>+G100+D100</f>
        <v>3.5830000000000002</v>
      </c>
      <c r="X100" s="21">
        <v>0.5</v>
      </c>
      <c r="Y100" s="21">
        <f>+IF(D100=0.667,-E100*F100*H100*W100*X100,0)</f>
        <v>0</v>
      </c>
      <c r="Z100" s="21">
        <f>+IF(D100=0.333,-E100*F100*H100*W100*X100,0)</f>
        <v>0</v>
      </c>
      <c r="AA100" s="21">
        <f>+F100*G100*H100</f>
        <v>0</v>
      </c>
      <c r="AB100" s="21">
        <f t="shared" si="381"/>
        <v>0</v>
      </c>
      <c r="AC100" s="27"/>
      <c r="AD100" s="21"/>
      <c r="AE100" s="21">
        <f t="shared" si="382"/>
        <v>0</v>
      </c>
      <c r="AF100" s="21">
        <f t="shared" si="383"/>
        <v>0</v>
      </c>
      <c r="AG100" s="27"/>
      <c r="AH100" s="396"/>
      <c r="AI100" s="21">
        <f t="shared" si="384"/>
        <v>0</v>
      </c>
      <c r="AK100" s="301">
        <f t="shared" si="372"/>
        <v>0</v>
      </c>
      <c r="AL100" s="301">
        <f t="shared" si="373"/>
        <v>0</v>
      </c>
      <c r="AM100" s="301"/>
      <c r="AN100" s="301">
        <f>+IF(D100=0.333,1.33,0)*0</f>
        <v>0</v>
      </c>
      <c r="AO100" s="299"/>
      <c r="AP100" s="301"/>
      <c r="AQ100" s="301"/>
    </row>
    <row r="101" spans="2:43" ht="20.100000000000001" customHeight="1" x14ac:dyDescent="0.3">
      <c r="B101" s="92"/>
      <c r="C101" s="62" t="s">
        <v>342</v>
      </c>
      <c r="D101" s="98">
        <v>0.33300000000000002</v>
      </c>
      <c r="E101" s="415">
        <f>1*0</f>
        <v>0</v>
      </c>
      <c r="F101" s="415">
        <f>1*0</f>
        <v>0</v>
      </c>
      <c r="G101" s="98">
        <f>(3.585+2.236+2.236+2.236+2.236+2.955+1.39+1.39+1.39+1.39)*3.281</f>
        <v>69.045364000000021</v>
      </c>
      <c r="H101" s="98">
        <f>+D101</f>
        <v>0.33300000000000002</v>
      </c>
      <c r="I101" s="94">
        <v>2</v>
      </c>
      <c r="J101" s="99">
        <v>3</v>
      </c>
      <c r="K101" s="100">
        <f>+IF(D101=0.667,E101*F101*G101*H101*J101,0)</f>
        <v>0</v>
      </c>
      <c r="L101" s="100">
        <f>+IF(D101=0.333,E101*F101*G101*J101,0)</f>
        <v>0</v>
      </c>
      <c r="M101" s="99">
        <v>4</v>
      </c>
      <c r="N101" s="100">
        <f>+IF(D101=0.667,E101*F101*G101*H101*M101,0)</f>
        <v>0</v>
      </c>
      <c r="O101" s="100">
        <f>+IF(D101=0.333,E101*F101*G101*M101,0)</f>
        <v>0</v>
      </c>
      <c r="P101" s="81">
        <f t="shared" ref="P101" si="385">11.833-I101-M101-J101</f>
        <v>2.8330000000000002</v>
      </c>
      <c r="Q101" s="100">
        <f>+IF(D101=0.667,E101*F101*G101*H101*P101,0)</f>
        <v>0</v>
      </c>
      <c r="R101" s="100">
        <f>+IF(D101=0.333,E101*F101*G101*P101,0)</f>
        <v>0</v>
      </c>
      <c r="S101" s="555">
        <f t="shared" si="370"/>
        <v>0</v>
      </c>
      <c r="T101" s="101">
        <f t="shared" si="371"/>
        <v>0</v>
      </c>
      <c r="U101" s="92"/>
      <c r="V101" s="91"/>
      <c r="W101" s="102"/>
      <c r="X101" s="98"/>
      <c r="Y101" s="102"/>
      <c r="Z101" s="98"/>
      <c r="AA101" s="98"/>
      <c r="AB101" s="98"/>
      <c r="AC101" s="91"/>
      <c r="AD101" s="98"/>
      <c r="AE101" s="98"/>
      <c r="AF101" s="98"/>
      <c r="AG101" s="91"/>
      <c r="AH101" s="415">
        <f>1*0</f>
        <v>0</v>
      </c>
      <c r="AI101" s="299">
        <f>+AH101*G101*D101*0.17</f>
        <v>0</v>
      </c>
      <c r="AK101" s="301">
        <f t="shared" si="372"/>
        <v>0</v>
      </c>
      <c r="AL101" s="301">
        <f t="shared" si="373"/>
        <v>0</v>
      </c>
      <c r="AM101" s="301"/>
      <c r="AN101" s="301"/>
      <c r="AO101" s="299"/>
      <c r="AP101" s="301"/>
      <c r="AQ101" s="301"/>
    </row>
    <row r="102" spans="2:43" ht="20.100000000000001" customHeight="1" x14ac:dyDescent="0.3">
      <c r="B102" s="18"/>
      <c r="C102" s="62" t="s">
        <v>337</v>
      </c>
      <c r="D102" s="98">
        <v>0.33300000000000002</v>
      </c>
      <c r="E102" s="607">
        <f>-1*0</f>
        <v>0</v>
      </c>
      <c r="F102" s="607">
        <f>4*0</f>
        <v>0</v>
      </c>
      <c r="G102" s="20">
        <v>2.5</v>
      </c>
      <c r="H102" s="20">
        <f t="shared" ref="H102:H105" si="386">+D102</f>
        <v>0.33300000000000002</v>
      </c>
      <c r="I102" s="21"/>
      <c r="J102" s="81">
        <v>3</v>
      </c>
      <c r="K102" s="103">
        <f t="shared" ref="K102:K105" si="387">+IF(D102=0.667,E102*F102*G102*H102*J102,0)</f>
        <v>0</v>
      </c>
      <c r="L102" s="103">
        <f t="shared" ref="L102:L105" si="388">+IF(D102=0.333,E102*F102*G102*J102,0)</f>
        <v>0</v>
      </c>
      <c r="M102" s="81">
        <v>3</v>
      </c>
      <c r="N102" s="103">
        <f t="shared" ref="N102:N105" si="389">+IF(D102=0.667,E102*F102*G102*H102*M102,0)</f>
        <v>0</v>
      </c>
      <c r="O102" s="103">
        <f t="shared" ref="O102:O105" si="390">+IF(D102=0.333,E102*F102*G102*M102,0)</f>
        <v>0</v>
      </c>
      <c r="P102" s="81"/>
      <c r="Q102" s="103">
        <f t="shared" ref="Q102:Q105" si="391">+IF(D102=0.667,E102*F102*G102*H102*P102,0)</f>
        <v>0</v>
      </c>
      <c r="R102" s="103">
        <f t="shared" ref="R102:R105" si="392">+IF(D102=0.333,E102*F102*G102*P102,0)</f>
        <v>0</v>
      </c>
      <c r="S102" s="676">
        <f t="shared" si="370"/>
        <v>0</v>
      </c>
      <c r="T102" s="104">
        <f t="shared" si="371"/>
        <v>0</v>
      </c>
      <c r="U102" s="18"/>
      <c r="V102" s="26"/>
      <c r="W102" s="21">
        <f>+G102+D102</f>
        <v>2.8330000000000002</v>
      </c>
      <c r="X102" s="21">
        <v>0.5</v>
      </c>
      <c r="Y102" s="21">
        <f>+IF(D102=0.667,-E102*F102*H102*W102*X102,0)</f>
        <v>0</v>
      </c>
      <c r="Z102" s="21">
        <f>+IF(D102=0.333,-E102*F102*H102*W102*X102,0)</f>
        <v>0</v>
      </c>
      <c r="AA102" s="21">
        <f>+F102*G102*H102</f>
        <v>0</v>
      </c>
      <c r="AB102" s="21">
        <f t="shared" ref="AB102:AB105" si="393">2*F102*W102*X102</f>
        <v>0</v>
      </c>
      <c r="AC102" s="27"/>
      <c r="AD102" s="21"/>
      <c r="AE102" s="21">
        <f t="shared" ref="AE102:AE105" si="394">+IF(D102=0.667,AD102*W102*H102*F102,0)</f>
        <v>0</v>
      </c>
      <c r="AF102" s="21">
        <f t="shared" ref="AF102:AF105" si="395">+IF(D102=0.333,AD102*W102*H102*F102,0)</f>
        <v>0</v>
      </c>
      <c r="AG102" s="27"/>
      <c r="AH102" s="396"/>
      <c r="AI102" s="21">
        <f t="shared" ref="AI102:AI105" si="396">+AH102*G102*D102*0.17</f>
        <v>0</v>
      </c>
      <c r="AK102" s="301">
        <f t="shared" si="372"/>
        <v>0</v>
      </c>
      <c r="AL102" s="301">
        <f t="shared" si="373"/>
        <v>0</v>
      </c>
      <c r="AM102" s="301"/>
      <c r="AN102" s="301">
        <f>+IF(D102=0.333,1.33,0)*0</f>
        <v>0</v>
      </c>
      <c r="AO102" s="299"/>
      <c r="AP102" s="301"/>
      <c r="AQ102" s="301"/>
    </row>
    <row r="103" spans="2:43" ht="20.100000000000001" customHeight="1" x14ac:dyDescent="0.3">
      <c r="B103" s="18"/>
      <c r="C103" s="62" t="s">
        <v>341</v>
      </c>
      <c r="D103" s="98">
        <v>0.33300000000000002</v>
      </c>
      <c r="E103" s="607">
        <f>-1*0</f>
        <v>0</v>
      </c>
      <c r="F103" s="607">
        <f>1*0</f>
        <v>0</v>
      </c>
      <c r="G103" s="20">
        <v>3.25</v>
      </c>
      <c r="H103" s="20">
        <f t="shared" si="386"/>
        <v>0.33300000000000002</v>
      </c>
      <c r="I103" s="21"/>
      <c r="J103" s="81">
        <v>3</v>
      </c>
      <c r="K103" s="103">
        <f t="shared" si="387"/>
        <v>0</v>
      </c>
      <c r="L103" s="103">
        <f t="shared" si="388"/>
        <v>0</v>
      </c>
      <c r="M103" s="81">
        <v>3</v>
      </c>
      <c r="N103" s="103">
        <f t="shared" si="389"/>
        <v>0</v>
      </c>
      <c r="O103" s="103">
        <f t="shared" si="390"/>
        <v>0</v>
      </c>
      <c r="P103" s="81"/>
      <c r="Q103" s="103">
        <f t="shared" si="391"/>
        <v>0</v>
      </c>
      <c r="R103" s="103">
        <f t="shared" si="392"/>
        <v>0</v>
      </c>
      <c r="S103" s="676">
        <f t="shared" si="370"/>
        <v>0</v>
      </c>
      <c r="T103" s="104">
        <f t="shared" si="371"/>
        <v>0</v>
      </c>
      <c r="U103" s="18"/>
      <c r="V103" s="26"/>
      <c r="W103" s="21">
        <f>+G103+D103</f>
        <v>3.5830000000000002</v>
      </c>
      <c r="X103" s="21">
        <v>0.5</v>
      </c>
      <c r="Y103" s="21">
        <f>+IF(D103=0.667,-E103*F103*H103*W103*X103,0)</f>
        <v>0</v>
      </c>
      <c r="Z103" s="21">
        <f>+IF(D103=0.333,-E103*F103*H103*W103*X103,0)</f>
        <v>0</v>
      </c>
      <c r="AA103" s="21">
        <f>+F103*G103*H103</f>
        <v>0</v>
      </c>
      <c r="AB103" s="21">
        <f t="shared" si="393"/>
        <v>0</v>
      </c>
      <c r="AC103" s="27"/>
      <c r="AD103" s="21"/>
      <c r="AE103" s="21">
        <f t="shared" si="394"/>
        <v>0</v>
      </c>
      <c r="AF103" s="21">
        <f t="shared" si="395"/>
        <v>0</v>
      </c>
      <c r="AG103" s="27"/>
      <c r="AH103" s="396"/>
      <c r="AI103" s="21">
        <f t="shared" si="396"/>
        <v>0</v>
      </c>
      <c r="AK103" s="301">
        <f t="shared" si="372"/>
        <v>0</v>
      </c>
      <c r="AL103" s="301">
        <f t="shared" si="373"/>
        <v>0</v>
      </c>
      <c r="AM103" s="301"/>
      <c r="AN103" s="301">
        <f>+IF(D103=0.333,1.33,0)*0</f>
        <v>0</v>
      </c>
      <c r="AO103" s="299"/>
      <c r="AP103" s="301"/>
      <c r="AQ103" s="301"/>
    </row>
    <row r="104" spans="2:43" ht="20.100000000000001" customHeight="1" x14ac:dyDescent="0.3">
      <c r="B104" s="18"/>
      <c r="C104" s="62" t="s">
        <v>343</v>
      </c>
      <c r="D104" s="298">
        <v>0.33300000000000002</v>
      </c>
      <c r="E104" s="415">
        <f>1*0</f>
        <v>0</v>
      </c>
      <c r="F104" s="415">
        <f>1*0</f>
        <v>0</v>
      </c>
      <c r="G104" s="20">
        <f>(1.05+1.05+222)*3.281</f>
        <v>735.27210000000002</v>
      </c>
      <c r="H104" s="20">
        <f t="shared" si="386"/>
        <v>0.33300000000000002</v>
      </c>
      <c r="I104" s="21">
        <f>18/12</f>
        <v>1.5</v>
      </c>
      <c r="J104" s="81">
        <v>3</v>
      </c>
      <c r="K104" s="103">
        <f t="shared" si="387"/>
        <v>0</v>
      </c>
      <c r="L104" s="103">
        <f t="shared" si="388"/>
        <v>0</v>
      </c>
      <c r="M104" s="81"/>
      <c r="N104" s="103">
        <f t="shared" si="389"/>
        <v>0</v>
      </c>
      <c r="O104" s="103">
        <f t="shared" si="390"/>
        <v>0</v>
      </c>
      <c r="P104" s="81"/>
      <c r="Q104" s="103">
        <f t="shared" si="391"/>
        <v>0</v>
      </c>
      <c r="R104" s="103">
        <f t="shared" si="392"/>
        <v>0</v>
      </c>
      <c r="S104" s="676">
        <f t="shared" si="370"/>
        <v>0</v>
      </c>
      <c r="T104" s="104">
        <f t="shared" si="371"/>
        <v>0</v>
      </c>
      <c r="U104" s="18"/>
      <c r="V104" s="26"/>
      <c r="W104" s="21"/>
      <c r="X104" s="21"/>
      <c r="Y104" s="21"/>
      <c r="Z104" s="21"/>
      <c r="AA104" s="21"/>
      <c r="AB104" s="21">
        <f t="shared" si="393"/>
        <v>0</v>
      </c>
      <c r="AC104" s="27"/>
      <c r="AD104" s="21"/>
      <c r="AE104" s="21">
        <f t="shared" si="394"/>
        <v>0</v>
      </c>
      <c r="AF104" s="21">
        <f t="shared" si="395"/>
        <v>0</v>
      </c>
      <c r="AG104" s="27"/>
      <c r="AH104" s="415">
        <f>1*0</f>
        <v>0</v>
      </c>
      <c r="AI104" s="21">
        <f t="shared" si="396"/>
        <v>0</v>
      </c>
      <c r="AK104" s="301">
        <f t="shared" si="372"/>
        <v>0</v>
      </c>
      <c r="AL104" s="301"/>
      <c r="AM104" s="301"/>
      <c r="AN104" s="301"/>
      <c r="AO104" s="299">
        <f>+E104*F104*G104</f>
        <v>0</v>
      </c>
      <c r="AP104" s="301"/>
      <c r="AQ104" s="301"/>
    </row>
    <row r="105" spans="2:43" ht="20.100000000000001" customHeight="1" x14ac:dyDescent="0.3">
      <c r="B105" s="18"/>
      <c r="C105" s="62" t="s">
        <v>344</v>
      </c>
      <c r="D105" s="298">
        <v>0.33300000000000002</v>
      </c>
      <c r="E105" s="415">
        <f>1*0</f>
        <v>0</v>
      </c>
      <c r="F105" s="415">
        <f>1*0</f>
        <v>0</v>
      </c>
      <c r="G105" s="20">
        <f>(1.05+1.05+1.05+1.05+1.2)*3.281</f>
        <v>17.717400000000001</v>
      </c>
      <c r="H105" s="20">
        <f t="shared" si="386"/>
        <v>0.33300000000000002</v>
      </c>
      <c r="I105" s="21">
        <f>18/12</f>
        <v>1.5</v>
      </c>
      <c r="J105" s="81">
        <v>3</v>
      </c>
      <c r="K105" s="103">
        <f t="shared" si="387"/>
        <v>0</v>
      </c>
      <c r="L105" s="103">
        <f t="shared" si="388"/>
        <v>0</v>
      </c>
      <c r="M105" s="81"/>
      <c r="N105" s="103">
        <f t="shared" si="389"/>
        <v>0</v>
      </c>
      <c r="O105" s="103">
        <f t="shared" si="390"/>
        <v>0</v>
      </c>
      <c r="P105" s="81"/>
      <c r="Q105" s="103">
        <f t="shared" si="391"/>
        <v>0</v>
      </c>
      <c r="R105" s="103">
        <f t="shared" si="392"/>
        <v>0</v>
      </c>
      <c r="S105" s="676">
        <f t="shared" si="370"/>
        <v>0</v>
      </c>
      <c r="T105" s="104">
        <f t="shared" si="371"/>
        <v>0</v>
      </c>
      <c r="U105" s="18"/>
      <c r="V105" s="26"/>
      <c r="W105" s="21"/>
      <c r="X105" s="21"/>
      <c r="Y105" s="21"/>
      <c r="Z105" s="21"/>
      <c r="AA105" s="21"/>
      <c r="AB105" s="21">
        <f t="shared" si="393"/>
        <v>0</v>
      </c>
      <c r="AC105" s="27"/>
      <c r="AD105" s="21"/>
      <c r="AE105" s="21">
        <f t="shared" si="394"/>
        <v>0</v>
      </c>
      <c r="AF105" s="21">
        <f t="shared" si="395"/>
        <v>0</v>
      </c>
      <c r="AG105" s="27"/>
      <c r="AH105" s="415">
        <f>1*0</f>
        <v>0</v>
      </c>
      <c r="AI105" s="21">
        <f t="shared" si="396"/>
        <v>0</v>
      </c>
      <c r="AK105" s="301">
        <f t="shared" si="372"/>
        <v>0</v>
      </c>
      <c r="AL105" s="301"/>
      <c r="AM105" s="301"/>
      <c r="AN105" s="301"/>
      <c r="AO105" s="299">
        <f>+E105*F105*G105</f>
        <v>0</v>
      </c>
      <c r="AP105" s="301"/>
      <c r="AQ105" s="301"/>
    </row>
    <row r="106" spans="2:43" ht="20.100000000000001" customHeight="1" x14ac:dyDescent="0.3">
      <c r="B106" s="369"/>
      <c r="C106" s="395"/>
      <c r="D106" s="371"/>
      <c r="E106" s="369"/>
      <c r="F106" s="369"/>
      <c r="G106" s="371"/>
      <c r="H106" s="371"/>
      <c r="I106" s="372"/>
      <c r="J106" s="371"/>
      <c r="K106" s="371"/>
      <c r="L106" s="371"/>
      <c r="M106" s="371"/>
      <c r="N106" s="371"/>
      <c r="O106" s="371"/>
      <c r="P106" s="371"/>
      <c r="Q106" s="371"/>
      <c r="R106" s="371"/>
      <c r="S106" s="371"/>
      <c r="T106" s="371"/>
      <c r="U106" s="369"/>
      <c r="V106" s="370"/>
      <c r="W106" s="372"/>
      <c r="X106" s="371"/>
      <c r="Y106" s="372"/>
      <c r="Z106" s="371"/>
      <c r="AA106" s="371"/>
      <c r="AB106" s="371"/>
      <c r="AC106" s="370"/>
      <c r="AD106" s="371"/>
      <c r="AE106" s="371"/>
      <c r="AF106" s="371"/>
      <c r="AG106" s="370"/>
      <c r="AH106" s="693"/>
      <c r="AI106" s="372"/>
      <c r="AK106" s="377"/>
      <c r="AL106" s="377"/>
      <c r="AM106" s="377"/>
      <c r="AN106" s="377"/>
      <c r="AO106" s="372"/>
      <c r="AP106" s="377"/>
      <c r="AQ106" s="377"/>
    </row>
    <row r="107" spans="2:43" ht="27" customHeight="1" x14ac:dyDescent="0.3">
      <c r="B107" s="92">
        <v>3</v>
      </c>
      <c r="C107" s="93" t="s">
        <v>349</v>
      </c>
      <c r="D107" s="92"/>
      <c r="E107" s="92"/>
      <c r="F107" s="92"/>
      <c r="G107" s="92"/>
      <c r="H107" s="92"/>
      <c r="I107" s="94"/>
      <c r="J107" s="92"/>
      <c r="K107" s="92"/>
      <c r="L107" s="92"/>
      <c r="M107" s="92"/>
      <c r="N107" s="92"/>
      <c r="O107" s="92"/>
      <c r="P107" s="92"/>
      <c r="Q107" s="92"/>
      <c r="R107" s="92"/>
      <c r="S107" s="92"/>
      <c r="T107" s="92"/>
      <c r="U107" s="92"/>
      <c r="V107" s="95"/>
      <c r="W107" s="92"/>
      <c r="X107" s="92"/>
      <c r="Y107" s="92"/>
      <c r="Z107" s="92"/>
      <c r="AA107" s="92"/>
      <c r="AB107" s="92"/>
      <c r="AC107" s="95"/>
      <c r="AD107" s="92"/>
      <c r="AE107" s="92"/>
      <c r="AF107" s="92"/>
      <c r="AG107" s="95"/>
      <c r="AH107" s="460"/>
      <c r="AI107" s="301"/>
      <c r="AK107" s="301"/>
      <c r="AL107" s="301"/>
      <c r="AM107" s="301"/>
      <c r="AN107" s="301"/>
      <c r="AO107" s="299"/>
      <c r="AP107" s="301"/>
      <c r="AQ107" s="301"/>
    </row>
    <row r="108" spans="2:43" ht="20.100000000000001" customHeight="1" x14ac:dyDescent="0.3">
      <c r="B108" s="92"/>
      <c r="C108" s="62" t="s">
        <v>33</v>
      </c>
      <c r="D108" s="98">
        <v>0.66700000000000004</v>
      </c>
      <c r="E108" s="92">
        <v>1</v>
      </c>
      <c r="F108" s="92">
        <v>1</v>
      </c>
      <c r="G108" s="675">
        <f>(1.219)*3.281</f>
        <v>3.9995390000000004</v>
      </c>
      <c r="H108" s="98">
        <f>+D108</f>
        <v>0.66700000000000004</v>
      </c>
      <c r="I108" s="94">
        <v>2</v>
      </c>
      <c r="J108" s="99">
        <v>3</v>
      </c>
      <c r="K108" s="100">
        <f>+IF(D108=0.667,E108*F108*G108*H108*J108,0)</f>
        <v>8.0030775390000013</v>
      </c>
      <c r="L108" s="100">
        <f>+IF(D108=0.333,E108*F108*G108*J108,0)</f>
        <v>0</v>
      </c>
      <c r="M108" s="99">
        <v>4</v>
      </c>
      <c r="N108" s="100">
        <f>+IF(D108=0.667,E108*F108*G108*H108*M108,0)</f>
        <v>10.670770052000002</v>
      </c>
      <c r="O108" s="100">
        <f>+IF(D108=0.333,E108*F108*G108*M108,0)</f>
        <v>0</v>
      </c>
      <c r="P108" s="81">
        <f t="shared" ref="P108" si="397">11.833-I108-M108-J108</f>
        <v>2.8330000000000002</v>
      </c>
      <c r="Q108" s="100">
        <f>+IF(D108=0.667,E108*F108*G108*H108*P108,0)</f>
        <v>7.557572889329002</v>
      </c>
      <c r="R108" s="100">
        <f>+IF(D108=0.333,E108*F108*G108*P108,0)</f>
        <v>0</v>
      </c>
      <c r="S108" s="101">
        <f t="shared" ref="S108:S109" si="398">+Q108+N108+K108</f>
        <v>26.231420480329007</v>
      </c>
      <c r="T108" s="101">
        <f t="shared" ref="T108:T109" si="399">+R108+O108+L108</f>
        <v>0</v>
      </c>
      <c r="U108" s="92"/>
      <c r="V108" s="91"/>
      <c r="W108" s="102"/>
      <c r="X108" s="98"/>
      <c r="Y108" s="102"/>
      <c r="Z108" s="98"/>
      <c r="AA108" s="98"/>
      <c r="AB108" s="98"/>
      <c r="AC108" s="91"/>
      <c r="AD108" s="98"/>
      <c r="AE108" s="98"/>
      <c r="AF108" s="98"/>
      <c r="AG108" s="91"/>
      <c r="AH108" s="460">
        <v>1</v>
      </c>
      <c r="AI108" s="299">
        <f>+AH108*G108*D108*0.17</f>
        <v>0.4535077272100001</v>
      </c>
      <c r="AK108" s="301">
        <f t="shared" ref="AK108:AK109" si="400">+IF(D108=0.667,E108*F108*G108,0)</f>
        <v>3.9995390000000004</v>
      </c>
      <c r="AL108" s="301">
        <f t="shared" ref="AL108:AL109" si="401">+IF(D108=0.333,E108*F108*G108,0)</f>
        <v>0</v>
      </c>
      <c r="AM108" s="301"/>
      <c r="AN108" s="301"/>
      <c r="AO108" s="299"/>
      <c r="AP108" s="301"/>
      <c r="AQ108" s="301"/>
    </row>
    <row r="109" spans="2:43" ht="20.100000000000001" customHeight="1" x14ac:dyDescent="0.3">
      <c r="B109" s="18"/>
      <c r="C109" s="62" t="s">
        <v>35</v>
      </c>
      <c r="D109" s="98">
        <v>0.66700000000000004</v>
      </c>
      <c r="E109" s="18">
        <v>-1</v>
      </c>
      <c r="F109" s="702">
        <v>1</v>
      </c>
      <c r="G109" s="675">
        <v>3.25</v>
      </c>
      <c r="H109" s="20">
        <f t="shared" ref="H109" si="402">+D109</f>
        <v>0.66700000000000004</v>
      </c>
      <c r="I109" s="21"/>
      <c r="J109" s="81">
        <v>3</v>
      </c>
      <c r="K109" s="103">
        <f t="shared" ref="K109" si="403">+IF(D109=0.667,E109*F109*G109*H109*J109,0)</f>
        <v>-6.5032500000000013</v>
      </c>
      <c r="L109" s="103">
        <f t="shared" ref="L109" si="404">+IF(D109=0.333,E109*F109*G109*J109,0)</f>
        <v>0</v>
      </c>
      <c r="M109" s="81">
        <v>4</v>
      </c>
      <c r="N109" s="103">
        <f t="shared" ref="N109" si="405">+IF(D109=0.667,E109*F109*G109*H109*M109,0)</f>
        <v>-8.6710000000000012</v>
      </c>
      <c r="O109" s="103">
        <f t="shared" ref="O109" si="406">+IF(D109=0.333,E109*F109*G109*M109,0)</f>
        <v>0</v>
      </c>
      <c r="P109" s="81"/>
      <c r="Q109" s="103">
        <f t="shared" ref="Q109" si="407">+IF(D109=0.667,E109*F109*G109*H109*P109,0)</f>
        <v>0</v>
      </c>
      <c r="R109" s="103">
        <f t="shared" ref="R109" si="408">+IF(D109=0.333,E109*F109*G109*P109,0)</f>
        <v>0</v>
      </c>
      <c r="S109" s="104">
        <f t="shared" si="398"/>
        <v>-15.174250000000002</v>
      </c>
      <c r="T109" s="104">
        <f t="shared" si="399"/>
        <v>0</v>
      </c>
      <c r="U109" s="18"/>
      <c r="V109" s="26"/>
      <c r="W109" s="225">
        <f>+G109+D109</f>
        <v>3.9169999999999998</v>
      </c>
      <c r="X109" s="225">
        <v>0.5</v>
      </c>
      <c r="Y109" s="225">
        <f>+IF(D109=0.667,-E109*F109*H109*W109*X109,0)</f>
        <v>1.3063195000000001</v>
      </c>
      <c r="Z109" s="225">
        <f>+IF(D109=0.333,-E109*F109*H109*W109*X109,0)</f>
        <v>0</v>
      </c>
      <c r="AA109" s="225">
        <f>+F109*G109*H109</f>
        <v>2.1677500000000003</v>
      </c>
      <c r="AB109" s="225">
        <f t="shared" ref="AB109" si="409">2*F109*W109*X109</f>
        <v>3.9169999999999998</v>
      </c>
      <c r="AC109" s="27"/>
      <c r="AD109" s="21"/>
      <c r="AE109" s="21">
        <f t="shared" ref="AE109" si="410">+IF(D109=0.667,AD109*W109*H109*F109,0)</f>
        <v>0</v>
      </c>
      <c r="AF109" s="21">
        <f t="shared" ref="AF109" si="411">+IF(D109=0.333,AD109*W109*H109*F109,0)</f>
        <v>0</v>
      </c>
      <c r="AG109" s="27"/>
      <c r="AH109" s="396"/>
      <c r="AI109" s="21">
        <f t="shared" ref="AI109" si="412">+AH109*G109*D109*0.17</f>
        <v>0</v>
      </c>
      <c r="AK109" s="301">
        <f t="shared" si="400"/>
        <v>-3.25</v>
      </c>
      <c r="AL109" s="301">
        <f t="shared" si="401"/>
        <v>0</v>
      </c>
      <c r="AM109" s="301">
        <f>+IF(D109=0.667,1.33,0)</f>
        <v>1.33</v>
      </c>
      <c r="AN109" s="301">
        <f>+IF(D109=0.333,1.33,0)</f>
        <v>0</v>
      </c>
      <c r="AO109" s="299"/>
      <c r="AP109" s="301"/>
      <c r="AQ109" s="301"/>
    </row>
    <row r="110" spans="2:43" ht="20.100000000000001" customHeight="1" x14ac:dyDescent="0.3">
      <c r="B110" s="92"/>
      <c r="C110" s="62" t="s">
        <v>43</v>
      </c>
      <c r="D110" s="98">
        <v>0.66700000000000004</v>
      </c>
      <c r="E110" s="92">
        <v>1</v>
      </c>
      <c r="F110" s="92">
        <v>1</v>
      </c>
      <c r="G110" s="675">
        <f>(4.73+0.9)*3.281</f>
        <v>18.472030000000004</v>
      </c>
      <c r="H110" s="98">
        <f>+D110</f>
        <v>0.66700000000000004</v>
      </c>
      <c r="I110" s="94">
        <v>2</v>
      </c>
      <c r="J110" s="99">
        <v>3</v>
      </c>
      <c r="K110" s="100">
        <f>+IF(D110=0.667,E110*F110*G110*H110*J110,0)</f>
        <v>36.962532030000013</v>
      </c>
      <c r="L110" s="100">
        <f>+IF(D110=0.333,E110*F110*G110*J110,0)</f>
        <v>0</v>
      </c>
      <c r="M110" s="99">
        <v>4</v>
      </c>
      <c r="N110" s="100">
        <f>+IF(D110=0.667,E110*F110*G110*H110*M110,0)</f>
        <v>49.283376040000014</v>
      </c>
      <c r="O110" s="100">
        <f>+IF(D110=0.333,E110*F110*G110*M110,0)</f>
        <v>0</v>
      </c>
      <c r="P110" s="81">
        <f t="shared" ref="P110:P112" si="413">11.833-I110-M110-J110</f>
        <v>2.8330000000000002</v>
      </c>
      <c r="Q110" s="100">
        <f>+IF(D110=0.667,E110*F110*G110*H110*P110,0)</f>
        <v>34.904951080330015</v>
      </c>
      <c r="R110" s="100">
        <f>+IF(D110=0.333,E110*F110*G110*P110,0)</f>
        <v>0</v>
      </c>
      <c r="S110" s="101">
        <f t="shared" ref="S110:S113" si="414">+Q110+N110+K110</f>
        <v>121.15085915033004</v>
      </c>
      <c r="T110" s="101">
        <f t="shared" ref="T110:T113" si="415">+R110+O110+L110</f>
        <v>0</v>
      </c>
      <c r="U110" s="92"/>
      <c r="V110" s="91"/>
      <c r="W110" s="102"/>
      <c r="X110" s="98"/>
      <c r="Y110" s="102"/>
      <c r="Z110" s="98"/>
      <c r="AA110" s="98"/>
      <c r="AB110" s="98"/>
      <c r="AC110" s="91"/>
      <c r="AD110" s="98"/>
      <c r="AE110" s="98"/>
      <c r="AF110" s="98"/>
      <c r="AG110" s="91"/>
      <c r="AH110" s="460">
        <v>1</v>
      </c>
      <c r="AI110" s="299">
        <f>+AH110*G110*D110*0.17</f>
        <v>2.0945434817000006</v>
      </c>
      <c r="AK110" s="301">
        <f t="shared" ref="AK110:AK113" si="416">+IF(D110=0.667,E110*F110*G110,0)</f>
        <v>18.472030000000004</v>
      </c>
      <c r="AL110" s="301">
        <f t="shared" ref="AL110:AL113" si="417">+IF(D110=0.333,E110*F110*G110,0)</f>
        <v>0</v>
      </c>
      <c r="AM110" s="301"/>
      <c r="AN110" s="301"/>
      <c r="AO110" s="299"/>
      <c r="AP110" s="301"/>
      <c r="AQ110" s="301"/>
    </row>
    <row r="111" spans="2:43" ht="20.100000000000001" customHeight="1" x14ac:dyDescent="0.3">
      <c r="B111" s="92"/>
      <c r="C111" s="62" t="s">
        <v>31</v>
      </c>
      <c r="D111" s="98">
        <v>0.66700000000000004</v>
      </c>
      <c r="E111" s="92">
        <v>1</v>
      </c>
      <c r="F111" s="92">
        <v>1</v>
      </c>
      <c r="G111" s="675">
        <f>(6.82)*3.281</f>
        <v>22.376420000000003</v>
      </c>
      <c r="H111" s="98">
        <f>+D111</f>
        <v>0.66700000000000004</v>
      </c>
      <c r="I111" s="94">
        <v>2</v>
      </c>
      <c r="J111" s="99">
        <v>3</v>
      </c>
      <c r="K111" s="100">
        <f>+IF(D111=0.667,E111*F111*G111*H111*J111,0)</f>
        <v>44.775216420000007</v>
      </c>
      <c r="L111" s="100">
        <f>+IF(D111=0.333,E111*F111*G111*J111,0)</f>
        <v>0</v>
      </c>
      <c r="M111" s="99">
        <v>4</v>
      </c>
      <c r="N111" s="100">
        <f>+IF(D111=0.667,E111*F111*G111*H111*M111,0)</f>
        <v>59.700288560000011</v>
      </c>
      <c r="O111" s="100">
        <f>+IF(D111=0.333,E111*F111*G111*M111,0)</f>
        <v>0</v>
      </c>
      <c r="P111" s="81">
        <f t="shared" si="413"/>
        <v>2.8330000000000002</v>
      </c>
      <c r="Q111" s="100">
        <f>+IF(D111=0.667,E111*F111*G111*H111*P111,0)</f>
        <v>42.282729372620011</v>
      </c>
      <c r="R111" s="100">
        <f>+IF(D111=0.333,E111*F111*G111*P111,0)</f>
        <v>0</v>
      </c>
      <c r="S111" s="101">
        <f t="shared" si="414"/>
        <v>146.75823435262004</v>
      </c>
      <c r="T111" s="101">
        <f t="shared" si="415"/>
        <v>0</v>
      </c>
      <c r="U111" s="92"/>
      <c r="V111" s="91"/>
      <c r="W111" s="102"/>
      <c r="X111" s="98"/>
      <c r="Y111" s="102"/>
      <c r="Z111" s="98"/>
      <c r="AA111" s="98"/>
      <c r="AB111" s="98"/>
      <c r="AC111" s="91"/>
      <c r="AD111" s="98"/>
      <c r="AE111" s="98"/>
      <c r="AF111" s="98"/>
      <c r="AG111" s="91"/>
      <c r="AH111" s="460">
        <v>1</v>
      </c>
      <c r="AI111" s="299">
        <f>+AH111*G111*D111*0.17</f>
        <v>2.5372622638000006</v>
      </c>
      <c r="AK111" s="301">
        <f t="shared" si="416"/>
        <v>22.376420000000003</v>
      </c>
      <c r="AL111" s="301">
        <f t="shared" si="417"/>
        <v>0</v>
      </c>
      <c r="AM111" s="301"/>
      <c r="AN111" s="301"/>
      <c r="AO111" s="299"/>
      <c r="AP111" s="301"/>
      <c r="AQ111" s="301"/>
    </row>
    <row r="112" spans="2:43" ht="20.100000000000001" customHeight="1" x14ac:dyDescent="0.3">
      <c r="B112" s="92"/>
      <c r="C112" s="62" t="s">
        <v>32</v>
      </c>
      <c r="D112" s="98">
        <v>0.66700000000000004</v>
      </c>
      <c r="E112" s="92">
        <v>1</v>
      </c>
      <c r="F112" s="92">
        <v>1</v>
      </c>
      <c r="G112" s="675">
        <f>(5.306)*3.281</f>
        <v>17.408986000000002</v>
      </c>
      <c r="H112" s="98">
        <f>+D112</f>
        <v>0.66700000000000004</v>
      </c>
      <c r="I112" s="94">
        <v>2</v>
      </c>
      <c r="J112" s="99">
        <v>3</v>
      </c>
      <c r="K112" s="100">
        <f>+IF(D112=0.667,E112*F112*G112*H112*J112,0)</f>
        <v>34.835380986000004</v>
      </c>
      <c r="L112" s="100">
        <f>+IF(D112=0.333,E112*F112*G112*J112,0)</f>
        <v>0</v>
      </c>
      <c r="M112" s="99">
        <v>4</v>
      </c>
      <c r="N112" s="100">
        <f>+IF(D112=0.667,E112*F112*G112*H112*M112,0)</f>
        <v>46.447174648000008</v>
      </c>
      <c r="O112" s="100">
        <f>+IF(D112=0.333,E112*F112*G112*M112,0)</f>
        <v>0</v>
      </c>
      <c r="P112" s="81">
        <f t="shared" si="413"/>
        <v>2.8330000000000002</v>
      </c>
      <c r="Q112" s="100">
        <f>+IF(D112=0.667,E112*F112*G112*H112*P112,0)</f>
        <v>32.89621144444601</v>
      </c>
      <c r="R112" s="100">
        <f>+IF(D112=0.333,E112*F112*G112*P112,0)</f>
        <v>0</v>
      </c>
      <c r="S112" s="101">
        <f t="shared" si="414"/>
        <v>114.17876707844603</v>
      </c>
      <c r="T112" s="101">
        <f t="shared" si="415"/>
        <v>0</v>
      </c>
      <c r="U112" s="92"/>
      <c r="V112" s="91"/>
      <c r="W112" s="102"/>
      <c r="X112" s="98"/>
      <c r="Y112" s="102"/>
      <c r="Z112" s="98"/>
      <c r="AA112" s="98"/>
      <c r="AB112" s="98"/>
      <c r="AC112" s="91"/>
      <c r="AD112" s="98"/>
      <c r="AE112" s="98"/>
      <c r="AF112" s="98"/>
      <c r="AG112" s="91"/>
      <c r="AH112" s="460">
        <v>1</v>
      </c>
      <c r="AI112" s="299">
        <f>+AH112*G112*D112*0.17</f>
        <v>1.9740049225400005</v>
      </c>
      <c r="AK112" s="301">
        <f t="shared" si="416"/>
        <v>17.408986000000002</v>
      </c>
      <c r="AL112" s="301">
        <f t="shared" si="417"/>
        <v>0</v>
      </c>
      <c r="AM112" s="301"/>
      <c r="AN112" s="301"/>
      <c r="AO112" s="299"/>
      <c r="AP112" s="301"/>
      <c r="AQ112" s="301"/>
    </row>
    <row r="113" spans="2:43" s="412" customFormat="1" ht="20.100000000000001" customHeight="1" x14ac:dyDescent="0.3">
      <c r="B113" s="402"/>
      <c r="C113" s="403" t="s">
        <v>563</v>
      </c>
      <c r="D113" s="416">
        <v>0.66700000000000004</v>
      </c>
      <c r="E113" s="402">
        <v>-1</v>
      </c>
      <c r="F113" s="402">
        <v>1</v>
      </c>
      <c r="G113" s="675">
        <f>4+4</f>
        <v>8</v>
      </c>
      <c r="H113" s="404">
        <f t="shared" ref="H113" si="418">+D113</f>
        <v>0.66700000000000004</v>
      </c>
      <c r="I113" s="405"/>
      <c r="J113" s="406">
        <v>3</v>
      </c>
      <c r="K113" s="407">
        <f t="shared" ref="K113" si="419">+IF(D113=0.667,E113*F113*G113*H113*J113,0)</f>
        <v>-16.008000000000003</v>
      </c>
      <c r="L113" s="407">
        <f t="shared" ref="L113" si="420">+IF(D113=0.333,E113*F113*G113*J113,0)</f>
        <v>0</v>
      </c>
      <c r="M113" s="406">
        <v>4</v>
      </c>
      <c r="N113" s="407">
        <f t="shared" ref="N113" si="421">+IF(D113=0.667,E113*F113*G113*H113*M113,0)</f>
        <v>-21.344000000000001</v>
      </c>
      <c r="O113" s="407">
        <f t="shared" ref="O113" si="422">+IF(D113=0.333,E113*F113*G113*M113,0)</f>
        <v>0</v>
      </c>
      <c r="P113" s="406">
        <v>1</v>
      </c>
      <c r="Q113" s="407">
        <f t="shared" ref="Q113" si="423">+IF(D113=0.667,E113*F113*G113*H113*P113,0)</f>
        <v>-5.3360000000000003</v>
      </c>
      <c r="R113" s="407">
        <f t="shared" ref="R113" si="424">+IF(D113=0.333,E113*F113*G113*P113,0)</f>
        <v>0</v>
      </c>
      <c r="S113" s="408">
        <f t="shared" si="414"/>
        <v>-42.688000000000002</v>
      </c>
      <c r="T113" s="408">
        <f t="shared" si="415"/>
        <v>0</v>
      </c>
      <c r="U113" s="402"/>
      <c r="V113" s="409"/>
      <c r="W113" s="691">
        <f>+G113+D113</f>
        <v>8.6669999999999998</v>
      </c>
      <c r="X113" s="691">
        <v>0.5</v>
      </c>
      <c r="Y113" s="691">
        <f>+IF(D113=0.667,-E113*F113*H113*W113*X113,0)</f>
        <v>2.8904445000000001</v>
      </c>
      <c r="Z113" s="691">
        <f>+IF(D113=0.333,-E113*F113*H113*W113*X113,0)</f>
        <v>0</v>
      </c>
      <c r="AA113" s="691">
        <f>+F113*G113*H113</f>
        <v>5.3360000000000003</v>
      </c>
      <c r="AB113" s="691">
        <f t="shared" ref="AB113" si="425">2*F113*W113*X113</f>
        <v>8.6669999999999998</v>
      </c>
      <c r="AC113" s="410"/>
      <c r="AD113" s="405"/>
      <c r="AE113" s="405">
        <f t="shared" ref="AE113" si="426">+IF(D113=0.667,AD113*W113*H113*F113,0)</f>
        <v>0</v>
      </c>
      <c r="AF113" s="405">
        <f t="shared" ref="AF113" si="427">+IF(D113=0.333,AD113*W113*H113*F113,0)</f>
        <v>0</v>
      </c>
      <c r="AG113" s="410"/>
      <c r="AH113" s="411"/>
      <c r="AI113" s="405">
        <f t="shared" ref="AI113" si="428">+AH113*G113*D113*0.17</f>
        <v>0</v>
      </c>
      <c r="AK113" s="413">
        <f t="shared" si="416"/>
        <v>-8</v>
      </c>
      <c r="AL113" s="413">
        <f t="shared" si="417"/>
        <v>0</v>
      </c>
      <c r="AM113" s="301">
        <f>+IF(D113=0.667,1.33,0)</f>
        <v>1.33</v>
      </c>
      <c r="AN113" s="413">
        <f>+IF(D113=0.333,1.33,0)</f>
        <v>0</v>
      </c>
      <c r="AO113" s="414"/>
      <c r="AP113" s="413"/>
      <c r="AQ113" s="413"/>
    </row>
    <row r="114" spans="2:43" ht="20.100000000000001" customHeight="1" x14ac:dyDescent="0.3">
      <c r="B114" s="92"/>
      <c r="C114" s="62" t="s">
        <v>38</v>
      </c>
      <c r="D114" s="98">
        <v>0.66700000000000004</v>
      </c>
      <c r="E114" s="92">
        <v>1</v>
      </c>
      <c r="F114" s="92">
        <v>1</v>
      </c>
      <c r="G114" s="675">
        <f>(4.522+5.343)*3.281</f>
        <v>32.367065000000004</v>
      </c>
      <c r="H114" s="98">
        <f>+D114</f>
        <v>0.66700000000000004</v>
      </c>
      <c r="I114" s="94">
        <v>2</v>
      </c>
      <c r="J114" s="99">
        <v>3</v>
      </c>
      <c r="K114" s="100">
        <f>+IF(D114=0.667,E114*F114*G114*H114*J114,0)</f>
        <v>64.76649706500001</v>
      </c>
      <c r="L114" s="100">
        <f>+IF(D114=0.333,E114*F114*G114*J114,0)</f>
        <v>0</v>
      </c>
      <c r="M114" s="99">
        <v>4</v>
      </c>
      <c r="N114" s="100">
        <f>+IF(D114=0.667,E114*F114*G114*H114*M114,0)</f>
        <v>86.355329420000018</v>
      </c>
      <c r="O114" s="100">
        <f>+IF(D114=0.333,E114*F114*G114*M114,0)</f>
        <v>0</v>
      </c>
      <c r="P114" s="81">
        <f t="shared" ref="P114" si="429">11.833-I114-M114-J114</f>
        <v>2.8330000000000002</v>
      </c>
      <c r="Q114" s="100">
        <f>+IF(D114=0.667,E114*F114*G114*H114*P114,0)</f>
        <v>61.161162061715018</v>
      </c>
      <c r="R114" s="100">
        <f>+IF(D114=0.333,E114*F114*G114*P114,0)</f>
        <v>0</v>
      </c>
      <c r="S114" s="101">
        <f t="shared" ref="S114" si="430">+Q114+N114+K114</f>
        <v>212.28298854671505</v>
      </c>
      <c r="T114" s="101">
        <f t="shared" ref="T114" si="431">+R114+O114+L114</f>
        <v>0</v>
      </c>
      <c r="U114" s="92"/>
      <c r="V114" s="91"/>
      <c r="W114" s="102"/>
      <c r="X114" s="98"/>
      <c r="Y114" s="102"/>
      <c r="Z114" s="98"/>
      <c r="AA114" s="98"/>
      <c r="AB114" s="98"/>
      <c r="AC114" s="91"/>
      <c r="AD114" s="98"/>
      <c r="AE114" s="98"/>
      <c r="AF114" s="98"/>
      <c r="AG114" s="91"/>
      <c r="AH114" s="460">
        <v>1</v>
      </c>
      <c r="AI114" s="299">
        <f>+AH114*G114*D114*0.17</f>
        <v>3.6701015003500008</v>
      </c>
      <c r="AK114" s="301">
        <f t="shared" ref="AK114" si="432">+IF(D114=0.667,E114*F114*G114,0)</f>
        <v>32.367065000000004</v>
      </c>
      <c r="AL114" s="301">
        <f t="shared" ref="AL114" si="433">+IF(D114=0.333,E114*F114*G114,0)</f>
        <v>0</v>
      </c>
      <c r="AM114" s="301"/>
      <c r="AN114" s="301"/>
      <c r="AO114" s="299"/>
      <c r="AP114" s="301"/>
      <c r="AQ114" s="301"/>
    </row>
    <row r="115" spans="2:43" ht="20.100000000000001" customHeight="1" x14ac:dyDescent="0.3">
      <c r="B115" s="369"/>
      <c r="C115" s="395"/>
      <c r="D115" s="371"/>
      <c r="E115" s="369"/>
      <c r="F115" s="369"/>
      <c r="G115" s="371"/>
      <c r="H115" s="371"/>
      <c r="I115" s="372"/>
      <c r="J115" s="371"/>
      <c r="K115" s="371"/>
      <c r="L115" s="371"/>
      <c r="M115" s="371"/>
      <c r="N115" s="371"/>
      <c r="O115" s="371"/>
      <c r="P115" s="371"/>
      <c r="Q115" s="371"/>
      <c r="R115" s="371"/>
      <c r="S115" s="371"/>
      <c r="T115" s="371"/>
      <c r="U115" s="369"/>
      <c r="V115" s="370"/>
      <c r="W115" s="372"/>
      <c r="X115" s="371"/>
      <c r="Y115" s="372"/>
      <c r="Z115" s="371"/>
      <c r="AA115" s="371"/>
      <c r="AB115" s="371"/>
      <c r="AC115" s="370"/>
      <c r="AD115" s="371"/>
      <c r="AE115" s="371"/>
      <c r="AF115" s="371"/>
      <c r="AG115" s="370"/>
      <c r="AH115" s="693"/>
      <c r="AI115" s="372"/>
      <c r="AK115" s="377"/>
      <c r="AL115" s="377"/>
      <c r="AM115" s="377"/>
      <c r="AN115" s="377"/>
      <c r="AO115" s="372"/>
      <c r="AP115" s="377"/>
      <c r="AQ115" s="377"/>
    </row>
    <row r="116" spans="2:43" ht="27.6" x14ac:dyDescent="0.3">
      <c r="B116" s="92">
        <v>3</v>
      </c>
      <c r="C116" s="93" t="s">
        <v>350</v>
      </c>
      <c r="D116" s="92"/>
      <c r="E116" s="92"/>
      <c r="F116" s="92"/>
      <c r="G116" s="92"/>
      <c r="H116" s="92"/>
      <c r="I116" s="94"/>
      <c r="J116" s="92"/>
      <c r="K116" s="92"/>
      <c r="L116" s="92"/>
      <c r="M116" s="92"/>
      <c r="N116" s="92"/>
      <c r="O116" s="92"/>
      <c r="P116" s="92"/>
      <c r="Q116" s="92"/>
      <c r="R116" s="92"/>
      <c r="S116" s="92"/>
      <c r="T116" s="92"/>
      <c r="U116" s="92"/>
      <c r="V116" s="95"/>
      <c r="W116" s="92"/>
      <c r="X116" s="92"/>
      <c r="Y116" s="92"/>
      <c r="Z116" s="92"/>
      <c r="AA116" s="92"/>
      <c r="AB116" s="92"/>
      <c r="AC116" s="95"/>
      <c r="AD116" s="92"/>
      <c r="AE116" s="92"/>
      <c r="AF116" s="92"/>
      <c r="AG116" s="95"/>
      <c r="AH116" s="460"/>
      <c r="AI116" s="301"/>
      <c r="AK116" s="301"/>
      <c r="AL116" s="301"/>
      <c r="AM116" s="301"/>
      <c r="AN116" s="301"/>
      <c r="AO116" s="299"/>
      <c r="AP116" s="301"/>
      <c r="AQ116" s="301"/>
    </row>
    <row r="117" spans="2:43" ht="20.100000000000001" customHeight="1" x14ac:dyDescent="0.3">
      <c r="B117" s="92"/>
      <c r="C117" s="62" t="s">
        <v>33</v>
      </c>
      <c r="D117" s="98">
        <v>0.66700000000000004</v>
      </c>
      <c r="E117" s="92">
        <v>1</v>
      </c>
      <c r="F117" s="92">
        <v>1</v>
      </c>
      <c r="G117" s="675">
        <f>(1.22)*3.281</f>
        <v>4.0028199999999998</v>
      </c>
      <c r="H117" s="98">
        <f>+D117</f>
        <v>0.66700000000000004</v>
      </c>
      <c r="I117" s="94">
        <v>2</v>
      </c>
      <c r="J117" s="99">
        <v>3</v>
      </c>
      <c r="K117" s="100">
        <f>+IF(D117=0.667,E117*F117*G117*H117*J117,0)</f>
        <v>8.0096428199999998</v>
      </c>
      <c r="L117" s="100">
        <f>+IF(D117=0.333,E117*F117*G117*J117,0)</f>
        <v>0</v>
      </c>
      <c r="M117" s="99">
        <v>4</v>
      </c>
      <c r="N117" s="100">
        <f>+IF(D117=0.667,E117*F117*G117*H117*M117,0)</f>
        <v>10.67952376</v>
      </c>
      <c r="O117" s="100">
        <f>+IF(D117=0.333,E117*F117*G117*M117,0)</f>
        <v>0</v>
      </c>
      <c r="P117" s="81">
        <f>11.833-I117-M117-J117</f>
        <v>2.8330000000000002</v>
      </c>
      <c r="Q117" s="100">
        <f>+IF(D117=0.667,E117*F117*G117*H117*P117,0)</f>
        <v>7.5637727030200006</v>
      </c>
      <c r="R117" s="100">
        <f>+IF(D117=0.333,E117*F117*G117*P117,0)</f>
        <v>0</v>
      </c>
      <c r="S117" s="101">
        <f t="shared" ref="S117:S122" si="434">+Q117+N117+K117</f>
        <v>26.252939283020002</v>
      </c>
      <c r="T117" s="101">
        <f t="shared" ref="T117:T122" si="435">+R117+O117+L117</f>
        <v>0</v>
      </c>
      <c r="U117" s="92"/>
      <c r="V117" s="91"/>
      <c r="W117" s="102"/>
      <c r="X117" s="98"/>
      <c r="Y117" s="102"/>
      <c r="Z117" s="98"/>
      <c r="AA117" s="98"/>
      <c r="AB117" s="98"/>
      <c r="AC117" s="91"/>
      <c r="AD117" s="98"/>
      <c r="AE117" s="98"/>
      <c r="AF117" s="98"/>
      <c r="AG117" s="91"/>
      <c r="AH117" s="460">
        <v>1</v>
      </c>
      <c r="AI117" s="299">
        <f>+AH117*G117*D117*0.17</f>
        <v>0.45387975980000006</v>
      </c>
      <c r="AK117" s="301">
        <f t="shared" ref="AK117:AK122" si="436">+IF(D117=0.667,E117*F117*G117,0)</f>
        <v>4.0028199999999998</v>
      </c>
      <c r="AL117" s="301">
        <f t="shared" ref="AL117:AL122" si="437">+IF(D117=0.333,E117*F117*G117,0)</f>
        <v>0</v>
      </c>
      <c r="AM117" s="301"/>
      <c r="AN117" s="301"/>
      <c r="AO117" s="299"/>
      <c r="AP117" s="301"/>
      <c r="AQ117" s="301"/>
    </row>
    <row r="118" spans="2:43" ht="20.100000000000001" customHeight="1" x14ac:dyDescent="0.3">
      <c r="B118" s="18"/>
      <c r="C118" s="62" t="s">
        <v>35</v>
      </c>
      <c r="D118" s="98">
        <v>0.66700000000000004</v>
      </c>
      <c r="E118" s="18">
        <v>-1</v>
      </c>
      <c r="F118" s="702">
        <v>1</v>
      </c>
      <c r="G118" s="675">
        <v>3.25</v>
      </c>
      <c r="H118" s="20">
        <f t="shared" ref="H118" si="438">+D118</f>
        <v>0.66700000000000004</v>
      </c>
      <c r="I118" s="21"/>
      <c r="J118" s="81">
        <v>3</v>
      </c>
      <c r="K118" s="103">
        <f t="shared" ref="K118" si="439">+IF(D118=0.667,E118*F118*G118*H118*J118,0)</f>
        <v>-6.5032500000000013</v>
      </c>
      <c r="L118" s="103">
        <f t="shared" ref="L118" si="440">+IF(D118=0.333,E118*F118*G118*J118,0)</f>
        <v>0</v>
      </c>
      <c r="M118" s="81">
        <v>4</v>
      </c>
      <c r="N118" s="103">
        <f t="shared" ref="N118" si="441">+IF(D118=0.667,E118*F118*G118*H118*M118,0)</f>
        <v>-8.6710000000000012</v>
      </c>
      <c r="O118" s="103">
        <f t="shared" ref="O118" si="442">+IF(D118=0.333,E118*F118*G118*M118,0)</f>
        <v>0</v>
      </c>
      <c r="P118" s="81"/>
      <c r="Q118" s="103">
        <f t="shared" ref="Q118" si="443">+IF(D118=0.667,E118*F118*G118*H118*P118,0)</f>
        <v>0</v>
      </c>
      <c r="R118" s="103">
        <f t="shared" ref="R118" si="444">+IF(D118=0.333,E118*F118*G118*P118,0)</f>
        <v>0</v>
      </c>
      <c r="S118" s="104">
        <f t="shared" si="434"/>
        <v>-15.174250000000002</v>
      </c>
      <c r="T118" s="104">
        <f t="shared" si="435"/>
        <v>0</v>
      </c>
      <c r="U118" s="18"/>
      <c r="V118" s="26"/>
      <c r="W118" s="225">
        <f>+G118+D118</f>
        <v>3.9169999999999998</v>
      </c>
      <c r="X118" s="225">
        <v>0.5</v>
      </c>
      <c r="Y118" s="225">
        <f>+IF(D118=0.667,-E118*F118*H118*W118*X118,0)</f>
        <v>1.3063195000000001</v>
      </c>
      <c r="Z118" s="225">
        <f>+IF(D118=0.333,-E118*F118*H118*W118*X118,0)</f>
        <v>0</v>
      </c>
      <c r="AA118" s="225">
        <f>+F118*G118*H118</f>
        <v>2.1677500000000003</v>
      </c>
      <c r="AB118" s="225">
        <f t="shared" ref="AB118" si="445">2*F118*W118*X118</f>
        <v>3.9169999999999998</v>
      </c>
      <c r="AC118" s="27"/>
      <c r="AD118" s="21"/>
      <c r="AE118" s="21">
        <f t="shared" ref="AE118" si="446">+IF(D118=0.667,AD118*W118*H118*F118,0)</f>
        <v>0</v>
      </c>
      <c r="AF118" s="21">
        <f t="shared" ref="AF118" si="447">+IF(D118=0.333,AD118*W118*H118*F118,0)</f>
        <v>0</v>
      </c>
      <c r="AG118" s="27"/>
      <c r="AH118" s="396"/>
      <c r="AI118" s="21">
        <f t="shared" ref="AI118" si="448">+AH118*G118*D118*0.17</f>
        <v>0</v>
      </c>
      <c r="AK118" s="301">
        <f t="shared" si="436"/>
        <v>-3.25</v>
      </c>
      <c r="AL118" s="301">
        <f t="shared" si="437"/>
        <v>0</v>
      </c>
      <c r="AM118" s="301">
        <f>+IF(D118=0.667,1.33,0)</f>
        <v>1.33</v>
      </c>
      <c r="AN118" s="301">
        <f>+IF(D118=0.333,1.33,0)</f>
        <v>0</v>
      </c>
      <c r="AO118" s="299"/>
      <c r="AP118" s="301"/>
      <c r="AQ118" s="301"/>
    </row>
    <row r="119" spans="2:43" ht="20.100000000000001" customHeight="1" x14ac:dyDescent="0.3">
      <c r="B119" s="92"/>
      <c r="C119" s="62" t="s">
        <v>43</v>
      </c>
      <c r="D119" s="98">
        <v>0.66700000000000004</v>
      </c>
      <c r="E119" s="92">
        <v>1</v>
      </c>
      <c r="F119" s="92">
        <v>1</v>
      </c>
      <c r="G119" s="675">
        <f>(0.9+3.71)*3.281</f>
        <v>15.125410000000002</v>
      </c>
      <c r="H119" s="98">
        <f>+D119</f>
        <v>0.66700000000000004</v>
      </c>
      <c r="I119" s="94">
        <v>2</v>
      </c>
      <c r="J119" s="99">
        <v>3</v>
      </c>
      <c r="K119" s="100">
        <f>+IF(D119=0.667,E119*F119*G119*H119*J119,0)</f>
        <v>30.265945410000008</v>
      </c>
      <c r="L119" s="100">
        <f>+IF(D119=0.333,E119*F119*G119*J119,0)</f>
        <v>0</v>
      </c>
      <c r="M119" s="99">
        <v>4</v>
      </c>
      <c r="N119" s="100">
        <f>+IF(D119=0.667,E119*F119*G119*H119*M119,0)</f>
        <v>40.35459388000001</v>
      </c>
      <c r="O119" s="100">
        <f>+IF(D119=0.333,E119*F119*G119*M119,0)</f>
        <v>0</v>
      </c>
      <c r="P119" s="81">
        <f t="shared" ref="P119:P121" si="449">11.833-I119-M119-J119</f>
        <v>2.8330000000000002</v>
      </c>
      <c r="Q119" s="100">
        <f>+IF(D119=0.667,E119*F119*G119*H119*P119,0)</f>
        <v>28.581141115510007</v>
      </c>
      <c r="R119" s="100">
        <f>+IF(D119=0.333,E119*F119*G119*P119,0)</f>
        <v>0</v>
      </c>
      <c r="S119" s="101">
        <f t="shared" si="434"/>
        <v>99.201680405510018</v>
      </c>
      <c r="T119" s="101">
        <f t="shared" si="435"/>
        <v>0</v>
      </c>
      <c r="U119" s="92"/>
      <c r="V119" s="91"/>
      <c r="W119" s="102"/>
      <c r="X119" s="98"/>
      <c r="Y119" s="102"/>
      <c r="Z119" s="98"/>
      <c r="AA119" s="98"/>
      <c r="AB119" s="98"/>
      <c r="AC119" s="91"/>
      <c r="AD119" s="98"/>
      <c r="AE119" s="98"/>
      <c r="AF119" s="98"/>
      <c r="AG119" s="91"/>
      <c r="AH119" s="460">
        <v>1</v>
      </c>
      <c r="AI119" s="299">
        <f>+AH119*G119*D119*0.17</f>
        <v>1.7150702399000006</v>
      </c>
      <c r="AK119" s="301">
        <f t="shared" si="436"/>
        <v>15.125410000000002</v>
      </c>
      <c r="AL119" s="301">
        <f t="shared" si="437"/>
        <v>0</v>
      </c>
      <c r="AM119" s="301"/>
      <c r="AN119" s="301"/>
      <c r="AO119" s="299"/>
      <c r="AP119" s="301"/>
      <c r="AQ119" s="301"/>
    </row>
    <row r="120" spans="2:43" ht="20.100000000000001" customHeight="1" x14ac:dyDescent="0.3">
      <c r="B120" s="92"/>
      <c r="C120" s="62" t="s">
        <v>31</v>
      </c>
      <c r="D120" s="98">
        <v>0.66700000000000004</v>
      </c>
      <c r="E120" s="92">
        <v>1</v>
      </c>
      <c r="F120" s="92">
        <v>1</v>
      </c>
      <c r="G120" s="675">
        <f>(7.005+3.274)*3.281</f>
        <v>33.725399000000003</v>
      </c>
      <c r="H120" s="98">
        <f>+D120</f>
        <v>0.66700000000000004</v>
      </c>
      <c r="I120" s="94">
        <v>2</v>
      </c>
      <c r="J120" s="99">
        <v>3</v>
      </c>
      <c r="K120" s="100">
        <f>+IF(D120=0.667,E120*F120*G120*H120*J120,0)</f>
        <v>67.484523399000011</v>
      </c>
      <c r="L120" s="100">
        <f>+IF(D120=0.333,E120*F120*G120*J120,0)</f>
        <v>0</v>
      </c>
      <c r="M120" s="99">
        <v>4</v>
      </c>
      <c r="N120" s="100">
        <f>+IF(D120=0.667,E120*F120*G120*H120*M120,0)</f>
        <v>89.979364532000019</v>
      </c>
      <c r="O120" s="100">
        <f>+IF(D120=0.333,E120*F120*G120*M120,0)</f>
        <v>0</v>
      </c>
      <c r="P120" s="81">
        <f t="shared" si="449"/>
        <v>2.8330000000000002</v>
      </c>
      <c r="Q120" s="100">
        <f>+IF(D120=0.667,E120*F120*G120*H120*P120,0)</f>
        <v>63.72788492978902</v>
      </c>
      <c r="R120" s="100">
        <f>+IF(D120=0.333,E120*F120*G120*P120,0)</f>
        <v>0</v>
      </c>
      <c r="S120" s="101">
        <f t="shared" si="434"/>
        <v>221.19177286078906</v>
      </c>
      <c r="T120" s="101">
        <f t="shared" si="435"/>
        <v>0</v>
      </c>
      <c r="U120" s="92"/>
      <c r="V120" s="91"/>
      <c r="W120" s="102"/>
      <c r="X120" s="98"/>
      <c r="Y120" s="102"/>
      <c r="Z120" s="98"/>
      <c r="AA120" s="98"/>
      <c r="AB120" s="98"/>
      <c r="AC120" s="91"/>
      <c r="AD120" s="98"/>
      <c r="AE120" s="98"/>
      <c r="AF120" s="98"/>
      <c r="AG120" s="91"/>
      <c r="AH120" s="460">
        <v>1</v>
      </c>
      <c r="AI120" s="299">
        <f>+AH120*G120*D120*0.17</f>
        <v>3.8241229926100009</v>
      </c>
      <c r="AK120" s="301">
        <f t="shared" si="436"/>
        <v>33.725399000000003</v>
      </c>
      <c r="AL120" s="301">
        <f t="shared" si="437"/>
        <v>0</v>
      </c>
      <c r="AM120" s="301"/>
      <c r="AN120" s="301"/>
      <c r="AO120" s="299"/>
      <c r="AP120" s="301"/>
      <c r="AQ120" s="301"/>
    </row>
    <row r="121" spans="2:43" ht="20.100000000000001" customHeight="1" x14ac:dyDescent="0.3">
      <c r="B121" s="92"/>
      <c r="C121" s="62" t="s">
        <v>32</v>
      </c>
      <c r="D121" s="98">
        <v>0.66700000000000004</v>
      </c>
      <c r="E121" s="92">
        <v>1</v>
      </c>
      <c r="F121" s="92">
        <v>1</v>
      </c>
      <c r="G121" s="675">
        <f>(5.055)*3.281</f>
        <v>16.585455</v>
      </c>
      <c r="H121" s="98">
        <f>+D121</f>
        <v>0.66700000000000004</v>
      </c>
      <c r="I121" s="94">
        <v>2</v>
      </c>
      <c r="J121" s="99">
        <v>3</v>
      </c>
      <c r="K121" s="100">
        <f>+IF(D121=0.667,E121*F121*G121*H121*J121,0)</f>
        <v>33.187495455000004</v>
      </c>
      <c r="L121" s="100">
        <f>+IF(D121=0.333,E121*F121*G121*J121,0)</f>
        <v>0</v>
      </c>
      <c r="M121" s="99">
        <v>4</v>
      </c>
      <c r="N121" s="100">
        <f>+IF(D121=0.667,E121*F121*G121*H121*M121,0)</f>
        <v>44.249993940000003</v>
      </c>
      <c r="O121" s="100">
        <f>+IF(D121=0.333,E121*F121*G121*M121,0)</f>
        <v>0</v>
      </c>
      <c r="P121" s="81">
        <f t="shared" si="449"/>
        <v>2.8330000000000002</v>
      </c>
      <c r="Q121" s="100">
        <f>+IF(D121=0.667,E121*F121*G121*H121*P121,0)</f>
        <v>31.340058208005004</v>
      </c>
      <c r="R121" s="100">
        <f>+IF(D121=0.333,E121*F121*G121*P121,0)</f>
        <v>0</v>
      </c>
      <c r="S121" s="101">
        <f t="shared" si="434"/>
        <v>108.77754760300502</v>
      </c>
      <c r="T121" s="101">
        <f t="shared" si="435"/>
        <v>0</v>
      </c>
      <c r="U121" s="92"/>
      <c r="V121" s="91"/>
      <c r="W121" s="102"/>
      <c r="X121" s="98"/>
      <c r="Y121" s="102"/>
      <c r="Z121" s="98"/>
      <c r="AA121" s="98"/>
      <c r="AB121" s="98"/>
      <c r="AC121" s="91"/>
      <c r="AD121" s="98"/>
      <c r="AE121" s="98"/>
      <c r="AF121" s="98"/>
      <c r="AG121" s="91"/>
      <c r="AH121" s="460">
        <v>1</v>
      </c>
      <c r="AI121" s="299">
        <f>+AH121*G121*D121*0.17</f>
        <v>1.8806247424500002</v>
      </c>
      <c r="AK121" s="301">
        <f t="shared" si="436"/>
        <v>16.585455</v>
      </c>
      <c r="AL121" s="301">
        <f t="shared" si="437"/>
        <v>0</v>
      </c>
      <c r="AM121" s="301"/>
      <c r="AN121" s="301"/>
      <c r="AO121" s="299"/>
      <c r="AP121" s="301"/>
      <c r="AQ121" s="301"/>
    </row>
    <row r="122" spans="2:43" s="412" customFormat="1" ht="20.100000000000001" customHeight="1" x14ac:dyDescent="0.3">
      <c r="B122" s="402"/>
      <c r="C122" s="403" t="s">
        <v>563</v>
      </c>
      <c r="D122" s="416">
        <v>0.66700000000000004</v>
      </c>
      <c r="E122" s="402">
        <v>-1</v>
      </c>
      <c r="F122" s="402">
        <v>1</v>
      </c>
      <c r="G122" s="675">
        <f>4+4</f>
        <v>8</v>
      </c>
      <c r="H122" s="404">
        <f t="shared" ref="H122" si="450">+D122</f>
        <v>0.66700000000000004</v>
      </c>
      <c r="I122" s="405"/>
      <c r="J122" s="406">
        <v>3</v>
      </c>
      <c r="K122" s="407">
        <f t="shared" ref="K122" si="451">+IF(D122=0.667,E122*F122*G122*H122*J122,0)</f>
        <v>-16.008000000000003</v>
      </c>
      <c r="L122" s="407">
        <f t="shared" ref="L122" si="452">+IF(D122=0.333,E122*F122*G122*J122,0)</f>
        <v>0</v>
      </c>
      <c r="M122" s="406">
        <v>4</v>
      </c>
      <c r="N122" s="407">
        <f t="shared" ref="N122" si="453">+IF(D122=0.667,E122*F122*G122*H122*M122,0)</f>
        <v>-21.344000000000001</v>
      </c>
      <c r="O122" s="407">
        <f t="shared" ref="O122" si="454">+IF(D122=0.333,E122*F122*G122*M122,0)</f>
        <v>0</v>
      </c>
      <c r="P122" s="406">
        <v>1</v>
      </c>
      <c r="Q122" s="407">
        <f t="shared" ref="Q122" si="455">+IF(D122=0.667,E122*F122*G122*H122*P122,0)</f>
        <v>-5.3360000000000003</v>
      </c>
      <c r="R122" s="407">
        <f t="shared" ref="R122" si="456">+IF(D122=0.333,E122*F122*G122*P122,0)</f>
        <v>0</v>
      </c>
      <c r="S122" s="408">
        <f t="shared" si="434"/>
        <v>-42.688000000000002</v>
      </c>
      <c r="T122" s="408">
        <f t="shared" si="435"/>
        <v>0</v>
      </c>
      <c r="U122" s="402"/>
      <c r="V122" s="409"/>
      <c r="W122" s="691">
        <f>+G122+D122</f>
        <v>8.6669999999999998</v>
      </c>
      <c r="X122" s="691">
        <v>0.5</v>
      </c>
      <c r="Y122" s="691">
        <f>+IF(D122=0.667,-E122*F122*H122*W122*X122,0)</f>
        <v>2.8904445000000001</v>
      </c>
      <c r="Z122" s="691">
        <f>+IF(D122=0.333,-E122*F122*H122*W122*X122,0)</f>
        <v>0</v>
      </c>
      <c r="AA122" s="691">
        <f>+F122*G122*H122</f>
        <v>5.3360000000000003</v>
      </c>
      <c r="AB122" s="691">
        <f t="shared" ref="AB122" si="457">2*F122*W122*X122</f>
        <v>8.6669999999999998</v>
      </c>
      <c r="AC122" s="410"/>
      <c r="AD122" s="405"/>
      <c r="AE122" s="405">
        <f t="shared" ref="AE122" si="458">+IF(D122=0.667,AD122*W122*H122*F122,0)</f>
        <v>0</v>
      </c>
      <c r="AF122" s="405">
        <f t="shared" ref="AF122" si="459">+IF(D122=0.333,AD122*W122*H122*F122,0)</f>
        <v>0</v>
      </c>
      <c r="AG122" s="410"/>
      <c r="AH122" s="411"/>
      <c r="AI122" s="405">
        <f t="shared" ref="AI122" si="460">+AH122*G122*D122*0.17</f>
        <v>0</v>
      </c>
      <c r="AK122" s="413">
        <f t="shared" si="436"/>
        <v>-8</v>
      </c>
      <c r="AL122" s="413">
        <f t="shared" si="437"/>
        <v>0</v>
      </c>
      <c r="AM122" s="301">
        <f>+IF(D122=0.667,1.33,0)</f>
        <v>1.33</v>
      </c>
      <c r="AN122" s="413">
        <f>+IF(D122=0.333,1.33,0)</f>
        <v>0</v>
      </c>
      <c r="AO122" s="414"/>
      <c r="AP122" s="413"/>
      <c r="AQ122" s="413"/>
    </row>
    <row r="123" spans="2:43" ht="20.100000000000001" customHeight="1" x14ac:dyDescent="0.3">
      <c r="B123" s="369"/>
      <c r="C123" s="395"/>
      <c r="D123" s="371"/>
      <c r="E123" s="369"/>
      <c r="F123" s="369"/>
      <c r="G123" s="371"/>
      <c r="H123" s="371"/>
      <c r="I123" s="372"/>
      <c r="J123" s="371"/>
      <c r="K123" s="371"/>
      <c r="L123" s="371"/>
      <c r="M123" s="371"/>
      <c r="N123" s="371"/>
      <c r="O123" s="371"/>
      <c r="P123" s="371"/>
      <c r="Q123" s="371"/>
      <c r="R123" s="371"/>
      <c r="S123" s="371"/>
      <c r="T123" s="371"/>
      <c r="U123" s="369"/>
      <c r="V123" s="370"/>
      <c r="W123" s="372"/>
      <c r="X123" s="371"/>
      <c r="Y123" s="372"/>
      <c r="Z123" s="371"/>
      <c r="AA123" s="371"/>
      <c r="AB123" s="371"/>
      <c r="AC123" s="370"/>
      <c r="AD123" s="371"/>
      <c r="AE123" s="371"/>
      <c r="AF123" s="371"/>
      <c r="AG123" s="370"/>
      <c r="AH123" s="693"/>
      <c r="AI123" s="372"/>
      <c r="AK123" s="377"/>
      <c r="AL123" s="377"/>
      <c r="AM123" s="377"/>
      <c r="AN123" s="377"/>
      <c r="AO123" s="372"/>
      <c r="AP123" s="377"/>
      <c r="AQ123" s="377"/>
    </row>
    <row r="124" spans="2:43" ht="27.6" x14ac:dyDescent="0.3">
      <c r="B124" s="92">
        <v>1</v>
      </c>
      <c r="C124" s="93" t="s">
        <v>352</v>
      </c>
      <c r="D124" s="92"/>
      <c r="E124" s="92"/>
      <c r="F124" s="92"/>
      <c r="G124" s="92"/>
      <c r="H124" s="92"/>
      <c r="I124" s="94"/>
      <c r="J124" s="92"/>
      <c r="K124" s="92"/>
      <c r="L124" s="92"/>
      <c r="M124" s="92"/>
      <c r="N124" s="92"/>
      <c r="O124" s="92"/>
      <c r="P124" s="92"/>
      <c r="Q124" s="92"/>
      <c r="R124" s="92"/>
      <c r="S124" s="92"/>
      <c r="T124" s="92"/>
      <c r="U124" s="92"/>
      <c r="V124" s="95"/>
      <c r="W124" s="92"/>
      <c r="X124" s="92"/>
      <c r="Y124" s="92"/>
      <c r="Z124" s="92"/>
      <c r="AA124" s="92"/>
      <c r="AB124" s="92"/>
      <c r="AC124" s="95"/>
      <c r="AD124" s="92"/>
      <c r="AE124" s="92"/>
      <c r="AF124" s="92"/>
      <c r="AG124" s="95"/>
      <c r="AH124" s="460"/>
      <c r="AI124" s="301"/>
      <c r="AK124" s="301"/>
      <c r="AL124" s="301"/>
      <c r="AM124" s="301"/>
      <c r="AN124" s="301"/>
      <c r="AO124" s="299"/>
      <c r="AP124" s="301"/>
      <c r="AQ124" s="301"/>
    </row>
    <row r="125" spans="2:43" ht="20.100000000000001" customHeight="1" x14ac:dyDescent="0.3">
      <c r="B125" s="92"/>
      <c r="C125" s="96"/>
      <c r="D125" s="92"/>
      <c r="E125" s="92"/>
      <c r="F125" s="92"/>
      <c r="G125" s="92"/>
      <c r="H125" s="92"/>
      <c r="I125" s="94"/>
      <c r="J125" s="92"/>
      <c r="K125" s="92"/>
      <c r="L125" s="92"/>
      <c r="M125" s="92"/>
      <c r="N125" s="92"/>
      <c r="O125" s="92"/>
      <c r="P125" s="92"/>
      <c r="Q125" s="92"/>
      <c r="R125" s="92"/>
      <c r="S125" s="92"/>
      <c r="T125" s="92"/>
      <c r="U125" s="92"/>
      <c r="V125" s="95"/>
      <c r="W125" s="92"/>
      <c r="X125" s="92"/>
      <c r="Y125" s="92"/>
      <c r="Z125" s="92"/>
      <c r="AA125" s="92"/>
      <c r="AB125" s="92"/>
      <c r="AC125" s="95"/>
      <c r="AD125" s="92"/>
      <c r="AE125" s="92"/>
      <c r="AF125" s="92"/>
      <c r="AG125" s="95"/>
      <c r="AH125" s="692"/>
      <c r="AI125" s="306"/>
      <c r="AK125" s="306"/>
      <c r="AL125" s="306"/>
      <c r="AM125" s="306"/>
      <c r="AN125" s="306"/>
      <c r="AO125" s="394"/>
      <c r="AP125" s="306"/>
      <c r="AQ125" s="306"/>
    </row>
    <row r="126" spans="2:43" ht="20.100000000000001" customHeight="1" x14ac:dyDescent="0.3">
      <c r="B126" s="92"/>
      <c r="C126" s="97" t="s">
        <v>351</v>
      </c>
      <c r="D126" s="98"/>
      <c r="E126" s="92"/>
      <c r="F126" s="92"/>
      <c r="G126" s="98"/>
      <c r="H126" s="98"/>
      <c r="I126" s="94"/>
      <c r="J126" s="92"/>
      <c r="K126" s="92"/>
      <c r="L126" s="92"/>
      <c r="M126" s="92"/>
      <c r="N126" s="92"/>
      <c r="O126" s="92"/>
      <c r="P126" s="92"/>
      <c r="Q126" s="92"/>
      <c r="R126" s="92"/>
      <c r="S126" s="92"/>
      <c r="T126" s="92"/>
      <c r="U126" s="92"/>
      <c r="V126" s="91"/>
      <c r="W126" s="102"/>
      <c r="X126" s="98"/>
      <c r="Y126" s="102"/>
      <c r="Z126" s="98"/>
      <c r="AA126" s="98"/>
      <c r="AB126" s="98"/>
      <c r="AC126" s="91"/>
      <c r="AD126" s="98"/>
      <c r="AE126" s="98"/>
      <c r="AF126" s="98"/>
      <c r="AG126" s="91"/>
      <c r="AH126" s="460"/>
      <c r="AI126" s="299"/>
      <c r="AK126" s="301">
        <f t="shared" ref="AK126:AK153" si="461">+IF(D126=0.667,E126*F126*G126,0)</f>
        <v>0</v>
      </c>
      <c r="AL126" s="301">
        <f t="shared" ref="AL126:AL153" si="462">+IF(D126=0.333,E126*F126*G126,0)</f>
        <v>0</v>
      </c>
      <c r="AM126" s="301"/>
      <c r="AN126" s="301">
        <f>+IF(D126=0.333,1,0)</f>
        <v>0</v>
      </c>
      <c r="AO126" s="299"/>
      <c r="AP126" s="301"/>
      <c r="AQ126" s="301"/>
    </row>
    <row r="127" spans="2:43" ht="20.100000000000001" customHeight="1" x14ac:dyDescent="0.3">
      <c r="B127" s="92"/>
      <c r="C127" s="95" t="s">
        <v>33</v>
      </c>
      <c r="D127" s="98">
        <v>0.66700000000000004</v>
      </c>
      <c r="E127" s="92">
        <v>1</v>
      </c>
      <c r="F127" s="92">
        <v>1</v>
      </c>
      <c r="G127" s="675">
        <f>(9.05)*3.281</f>
        <v>29.693050000000003</v>
      </c>
      <c r="H127" s="98">
        <f t="shared" ref="H127:H132" si="463">+D127</f>
        <v>0.66700000000000004</v>
      </c>
      <c r="I127" s="94">
        <v>2</v>
      </c>
      <c r="J127" s="99">
        <v>3</v>
      </c>
      <c r="K127" s="100">
        <f t="shared" ref="K127:K132" si="464">+IF(D127=0.667,E127*F127*G127*H127*J127,0)</f>
        <v>59.415793050000005</v>
      </c>
      <c r="L127" s="100">
        <f t="shared" ref="L127:L132" si="465">+IF(D127=0.333,E127*F127*G127*J127,0)</f>
        <v>0</v>
      </c>
      <c r="M127" s="99">
        <v>4</v>
      </c>
      <c r="N127" s="100">
        <f t="shared" ref="N127:N132" si="466">+IF(D127=0.667,E127*F127*G127*H127*M127,0)</f>
        <v>79.221057400000007</v>
      </c>
      <c r="O127" s="100">
        <f t="shared" ref="O127:O132" si="467">+IF(D127=0.333,E127*F127*G127*M127,0)</f>
        <v>0</v>
      </c>
      <c r="P127" s="81">
        <f>11.833-I127-M127-J127</f>
        <v>2.8330000000000002</v>
      </c>
      <c r="Q127" s="100">
        <f t="shared" ref="Q127:Q132" si="468">+IF(D127=0.667,E127*F127*G127*H127*P127,0)</f>
        <v>56.108313903550005</v>
      </c>
      <c r="R127" s="100">
        <f t="shared" ref="R127:R132" si="469">+IF(D127=0.333,E127*F127*G127*P127,0)</f>
        <v>0</v>
      </c>
      <c r="S127" s="101">
        <f t="shared" ref="S127:S132" si="470">+Q127+N127+K127</f>
        <v>194.74516435355002</v>
      </c>
      <c r="T127" s="101">
        <f t="shared" ref="T127:T132" si="471">+R127+O127+L127</f>
        <v>0</v>
      </c>
      <c r="U127" s="92"/>
      <c r="V127" s="91"/>
      <c r="W127" s="102"/>
      <c r="X127" s="98"/>
      <c r="Y127" s="102"/>
      <c r="Z127" s="98"/>
      <c r="AA127" s="98"/>
      <c r="AB127" s="98"/>
      <c r="AC127" s="91"/>
      <c r="AD127" s="98"/>
      <c r="AE127" s="98"/>
      <c r="AF127" s="98"/>
      <c r="AG127" s="91"/>
      <c r="AH127" s="460">
        <v>1</v>
      </c>
      <c r="AI127" s="299">
        <f t="shared" ref="AI127:AI132" si="472">+AH127*G127*D127*0.17</f>
        <v>3.3668949395000007</v>
      </c>
      <c r="AK127" s="301">
        <f t="shared" si="461"/>
        <v>29.693050000000003</v>
      </c>
      <c r="AL127" s="301">
        <f t="shared" si="462"/>
        <v>0</v>
      </c>
      <c r="AM127" s="301"/>
      <c r="AN127" s="301"/>
      <c r="AO127" s="299"/>
      <c r="AP127" s="301"/>
      <c r="AQ127" s="301"/>
    </row>
    <row r="128" spans="2:43" ht="20.100000000000001" customHeight="1" x14ac:dyDescent="0.3">
      <c r="B128" s="92"/>
      <c r="C128" s="95" t="s">
        <v>353</v>
      </c>
      <c r="D128" s="98">
        <v>0.66700000000000004</v>
      </c>
      <c r="E128" s="92">
        <v>-1</v>
      </c>
      <c r="F128" s="92">
        <v>1</v>
      </c>
      <c r="G128" s="675">
        <f>4+4</f>
        <v>8</v>
      </c>
      <c r="H128" s="98">
        <f t="shared" si="463"/>
        <v>0.66700000000000004</v>
      </c>
      <c r="I128" s="102"/>
      <c r="J128" s="99">
        <v>3</v>
      </c>
      <c r="K128" s="100">
        <f t="shared" si="464"/>
        <v>-16.008000000000003</v>
      </c>
      <c r="L128" s="100">
        <f t="shared" si="465"/>
        <v>0</v>
      </c>
      <c r="M128" s="99">
        <v>4</v>
      </c>
      <c r="N128" s="100">
        <f t="shared" si="466"/>
        <v>-21.344000000000001</v>
      </c>
      <c r="O128" s="100">
        <f t="shared" si="467"/>
        <v>0</v>
      </c>
      <c r="P128" s="99">
        <v>1</v>
      </c>
      <c r="Q128" s="100">
        <f t="shared" si="468"/>
        <v>-5.3360000000000003</v>
      </c>
      <c r="R128" s="100">
        <f t="shared" si="469"/>
        <v>0</v>
      </c>
      <c r="S128" s="101">
        <f t="shared" si="470"/>
        <v>-42.688000000000002</v>
      </c>
      <c r="T128" s="101">
        <f t="shared" si="471"/>
        <v>0</v>
      </c>
      <c r="U128" s="92"/>
      <c r="V128" s="91"/>
      <c r="W128" s="690">
        <f>+G128+D128*2</f>
        <v>9.3339999999999996</v>
      </c>
      <c r="X128" s="690">
        <v>0.5</v>
      </c>
      <c r="Y128" s="690">
        <f>+IF(D128=0.667,-E128*F128*H128*W128*X128,0)</f>
        <v>3.112889</v>
      </c>
      <c r="Z128" s="690">
        <f>+IF(D128=0.333,-E128*F128*H128*W128*X128,0)</f>
        <v>0</v>
      </c>
      <c r="AA128" s="690">
        <f>+F128*G128*H128</f>
        <v>5.3360000000000003</v>
      </c>
      <c r="AB128" s="690">
        <f t="shared" ref="AB128" si="473">2*F128*W128*X128</f>
        <v>9.3339999999999996</v>
      </c>
      <c r="AC128" s="91"/>
      <c r="AD128" s="98"/>
      <c r="AE128" s="98">
        <f>+IF(D128=0.667,AD128*W128*H128*F128,0)</f>
        <v>0</v>
      </c>
      <c r="AF128" s="98">
        <f>+IF(D128=0.333,AD128*W128*H128*F128,0)</f>
        <v>0</v>
      </c>
      <c r="AG128" s="91"/>
      <c r="AH128" s="460"/>
      <c r="AI128" s="299">
        <f t="shared" si="472"/>
        <v>0</v>
      </c>
      <c r="AK128" s="301">
        <f t="shared" si="461"/>
        <v>-8</v>
      </c>
      <c r="AL128" s="301">
        <f t="shared" si="462"/>
        <v>0</v>
      </c>
      <c r="AM128" s="301">
        <f>+IF(D128=0.667,1.33,0)</f>
        <v>1.33</v>
      </c>
      <c r="AN128" s="301"/>
      <c r="AO128" s="299"/>
      <c r="AP128" s="301"/>
      <c r="AQ128" s="301"/>
    </row>
    <row r="129" spans="2:43" ht="20.100000000000001" customHeight="1" x14ac:dyDescent="0.3">
      <c r="B129" s="92"/>
      <c r="C129" s="95" t="s">
        <v>31</v>
      </c>
      <c r="D129" s="98">
        <v>0.66700000000000004</v>
      </c>
      <c r="E129" s="92">
        <v>1</v>
      </c>
      <c r="F129" s="92">
        <v>1</v>
      </c>
      <c r="G129" s="675">
        <f>(2.746)*3.281</f>
        <v>9.0096260000000008</v>
      </c>
      <c r="H129" s="98">
        <f t="shared" si="463"/>
        <v>0.66700000000000004</v>
      </c>
      <c r="I129" s="94">
        <v>2</v>
      </c>
      <c r="J129" s="99">
        <v>3</v>
      </c>
      <c r="K129" s="100">
        <f t="shared" si="464"/>
        <v>18.028261626000003</v>
      </c>
      <c r="L129" s="100">
        <f t="shared" si="465"/>
        <v>0</v>
      </c>
      <c r="M129" s="99">
        <v>4</v>
      </c>
      <c r="N129" s="100">
        <f t="shared" si="466"/>
        <v>24.037682168000003</v>
      </c>
      <c r="O129" s="100">
        <f t="shared" si="467"/>
        <v>0</v>
      </c>
      <c r="P129" s="81">
        <f>11.833-I129-M129-J129</f>
        <v>2.8330000000000002</v>
      </c>
      <c r="Q129" s="100">
        <f t="shared" si="468"/>
        <v>17.024688395486002</v>
      </c>
      <c r="R129" s="100">
        <f t="shared" si="469"/>
        <v>0</v>
      </c>
      <c r="S129" s="101">
        <f t="shared" si="470"/>
        <v>59.090632189486008</v>
      </c>
      <c r="T129" s="101">
        <f t="shared" si="471"/>
        <v>0</v>
      </c>
      <c r="U129" s="92"/>
      <c r="V129" s="91"/>
      <c r="W129" s="102"/>
      <c r="X129" s="98"/>
      <c r="Y129" s="102"/>
      <c r="Z129" s="98"/>
      <c r="AA129" s="98"/>
      <c r="AB129" s="98"/>
      <c r="AC129" s="91"/>
      <c r="AD129" s="98"/>
      <c r="AE129" s="98"/>
      <c r="AF129" s="98"/>
      <c r="AG129" s="91"/>
      <c r="AH129" s="460">
        <v>1</v>
      </c>
      <c r="AI129" s="299">
        <f t="shared" si="472"/>
        <v>1.0216014921400003</v>
      </c>
      <c r="AK129" s="301">
        <f t="shared" si="461"/>
        <v>9.0096260000000008</v>
      </c>
      <c r="AL129" s="301">
        <f t="shared" si="462"/>
        <v>0</v>
      </c>
      <c r="AM129" s="301"/>
      <c r="AN129" s="301"/>
      <c r="AO129" s="299"/>
      <c r="AP129" s="301"/>
      <c r="AQ129" s="301"/>
    </row>
    <row r="130" spans="2:43" ht="20.100000000000001" customHeight="1" x14ac:dyDescent="0.3">
      <c r="B130" s="92"/>
      <c r="C130" s="95" t="s">
        <v>335</v>
      </c>
      <c r="D130" s="98">
        <v>0.66700000000000004</v>
      </c>
      <c r="E130" s="92">
        <v>-1</v>
      </c>
      <c r="F130" s="92">
        <v>1</v>
      </c>
      <c r="G130" s="675">
        <f>4+4</f>
        <v>8</v>
      </c>
      <c r="H130" s="98">
        <f t="shared" si="463"/>
        <v>0.66700000000000004</v>
      </c>
      <c r="I130" s="102"/>
      <c r="J130" s="99">
        <v>3</v>
      </c>
      <c r="K130" s="100">
        <f t="shared" si="464"/>
        <v>-16.008000000000003</v>
      </c>
      <c r="L130" s="100">
        <f t="shared" si="465"/>
        <v>0</v>
      </c>
      <c r="M130" s="99">
        <v>4</v>
      </c>
      <c r="N130" s="100">
        <f t="shared" si="466"/>
        <v>-21.344000000000001</v>
      </c>
      <c r="O130" s="100">
        <f t="shared" si="467"/>
        <v>0</v>
      </c>
      <c r="P130" s="99">
        <v>1</v>
      </c>
      <c r="Q130" s="100">
        <f t="shared" si="468"/>
        <v>-5.3360000000000003</v>
      </c>
      <c r="R130" s="100">
        <f t="shared" si="469"/>
        <v>0</v>
      </c>
      <c r="S130" s="101">
        <f t="shared" ref="S130" si="474">+Q130+N130+K130</f>
        <v>-42.688000000000002</v>
      </c>
      <c r="T130" s="101">
        <f t="shared" ref="T130" si="475">+R130+O130+L130</f>
        <v>0</v>
      </c>
      <c r="U130" s="92"/>
      <c r="V130" s="91"/>
      <c r="W130" s="690">
        <f>+G130+D130*2</f>
        <v>9.3339999999999996</v>
      </c>
      <c r="X130" s="690">
        <v>0.5</v>
      </c>
      <c r="Y130" s="690">
        <f>+IF(D130=0.667,-E130*F130*H130*W130*X130,0)</f>
        <v>3.112889</v>
      </c>
      <c r="Z130" s="690">
        <f>+IF(D130=0.333,-E130*F130*H130*W130*X130,0)</f>
        <v>0</v>
      </c>
      <c r="AA130" s="690">
        <f>+F130*G130*H130</f>
        <v>5.3360000000000003</v>
      </c>
      <c r="AB130" s="690">
        <f t="shared" ref="AB130" si="476">2*F130*W130*X130</f>
        <v>9.3339999999999996</v>
      </c>
      <c r="AC130" s="91"/>
      <c r="AD130" s="98"/>
      <c r="AE130" s="98">
        <f>+IF(D130=0.667,AD130*W130*H130*F130,0)</f>
        <v>0</v>
      </c>
      <c r="AF130" s="98">
        <f>+IF(D130=0.333,AD130*W130*H130*F130,0)</f>
        <v>0</v>
      </c>
      <c r="AG130" s="91"/>
      <c r="AH130" s="460"/>
      <c r="AI130" s="299">
        <f t="shared" si="472"/>
        <v>0</v>
      </c>
      <c r="AK130" s="301">
        <f t="shared" ref="AK130" si="477">+IF(D130=0.667,E130*F130*G130,0)</f>
        <v>-8</v>
      </c>
      <c r="AL130" s="301">
        <f t="shared" ref="AL130" si="478">+IF(D130=0.333,E130*F130*G130,0)</f>
        <v>0</v>
      </c>
      <c r="AM130" s="301">
        <f>+IF(D130=0.667,1.33,0)</f>
        <v>1.33</v>
      </c>
      <c r="AN130" s="301"/>
      <c r="AO130" s="299"/>
      <c r="AP130" s="301"/>
      <c r="AQ130" s="301"/>
    </row>
    <row r="131" spans="2:43" ht="20.100000000000001" customHeight="1" x14ac:dyDescent="0.3">
      <c r="B131" s="92"/>
      <c r="C131" s="95" t="s">
        <v>38</v>
      </c>
      <c r="D131" s="98">
        <v>0.66700000000000004</v>
      </c>
      <c r="E131" s="92">
        <v>1</v>
      </c>
      <c r="F131" s="92">
        <v>1</v>
      </c>
      <c r="G131" s="675">
        <f>(3.074)*3.281</f>
        <v>10.085794</v>
      </c>
      <c r="H131" s="98">
        <f t="shared" si="463"/>
        <v>0.66700000000000004</v>
      </c>
      <c r="I131" s="94">
        <v>2</v>
      </c>
      <c r="J131" s="99">
        <v>3</v>
      </c>
      <c r="K131" s="100">
        <f t="shared" si="464"/>
        <v>20.181673794000002</v>
      </c>
      <c r="L131" s="100">
        <f t="shared" si="465"/>
        <v>0</v>
      </c>
      <c r="M131" s="99">
        <v>4</v>
      </c>
      <c r="N131" s="100">
        <f t="shared" si="466"/>
        <v>26.908898392000001</v>
      </c>
      <c r="O131" s="100">
        <f t="shared" si="467"/>
        <v>0</v>
      </c>
      <c r="P131" s="81">
        <f>11.833-I131-M131-J131</f>
        <v>2.8330000000000002</v>
      </c>
      <c r="Q131" s="100">
        <f t="shared" si="468"/>
        <v>19.058227286134002</v>
      </c>
      <c r="R131" s="100">
        <f t="shared" si="469"/>
        <v>0</v>
      </c>
      <c r="S131" s="101">
        <f t="shared" si="470"/>
        <v>66.148799472134002</v>
      </c>
      <c r="T131" s="101">
        <f t="shared" si="471"/>
        <v>0</v>
      </c>
      <c r="U131" s="92"/>
      <c r="V131" s="91"/>
      <c r="W131" s="102"/>
      <c r="X131" s="98"/>
      <c r="Y131" s="102"/>
      <c r="Z131" s="98"/>
      <c r="AA131" s="98"/>
      <c r="AB131" s="98"/>
      <c r="AC131" s="91"/>
      <c r="AD131" s="98"/>
      <c r="AE131" s="98"/>
      <c r="AF131" s="98"/>
      <c r="AG131" s="91"/>
      <c r="AH131" s="460">
        <v>1</v>
      </c>
      <c r="AI131" s="299">
        <f t="shared" si="472"/>
        <v>1.14362818166</v>
      </c>
      <c r="AK131" s="301">
        <f t="shared" si="461"/>
        <v>10.085794</v>
      </c>
      <c r="AL131" s="301">
        <f t="shared" si="462"/>
        <v>0</v>
      </c>
      <c r="AM131" s="301"/>
      <c r="AN131" s="301"/>
      <c r="AO131" s="299"/>
      <c r="AP131" s="301"/>
      <c r="AQ131" s="301"/>
    </row>
    <row r="132" spans="2:43" ht="20.100000000000001" customHeight="1" x14ac:dyDescent="0.3">
      <c r="B132" s="92"/>
      <c r="C132" s="95" t="s">
        <v>335</v>
      </c>
      <c r="D132" s="98">
        <v>0.66700000000000004</v>
      </c>
      <c r="E132" s="92">
        <v>-1</v>
      </c>
      <c r="F132" s="92">
        <v>1</v>
      </c>
      <c r="G132" s="675">
        <f>4+4</f>
        <v>8</v>
      </c>
      <c r="H132" s="98">
        <f t="shared" si="463"/>
        <v>0.66700000000000004</v>
      </c>
      <c r="I132" s="102"/>
      <c r="J132" s="99">
        <v>3</v>
      </c>
      <c r="K132" s="100">
        <f t="shared" si="464"/>
        <v>-16.008000000000003</v>
      </c>
      <c r="L132" s="100">
        <f t="shared" si="465"/>
        <v>0</v>
      </c>
      <c r="M132" s="99">
        <v>4</v>
      </c>
      <c r="N132" s="100">
        <f t="shared" si="466"/>
        <v>-21.344000000000001</v>
      </c>
      <c r="O132" s="100">
        <f t="shared" si="467"/>
        <v>0</v>
      </c>
      <c r="P132" s="99">
        <v>1</v>
      </c>
      <c r="Q132" s="100">
        <f t="shared" si="468"/>
        <v>-5.3360000000000003</v>
      </c>
      <c r="R132" s="100">
        <f t="shared" si="469"/>
        <v>0</v>
      </c>
      <c r="S132" s="101">
        <f t="shared" si="470"/>
        <v>-42.688000000000002</v>
      </c>
      <c r="T132" s="101">
        <f t="shared" si="471"/>
        <v>0</v>
      </c>
      <c r="U132" s="92"/>
      <c r="V132" s="91"/>
      <c r="W132" s="690">
        <f>+G132+D132*2</f>
        <v>9.3339999999999996</v>
      </c>
      <c r="X132" s="690">
        <v>0.5</v>
      </c>
      <c r="Y132" s="690">
        <f>+IF(D132=0.667,-E132*F132*H132*W132*X132,0)</f>
        <v>3.112889</v>
      </c>
      <c r="Z132" s="690">
        <f>+IF(D132=0.333,-E132*F132*H132*W132*X132,0)</f>
        <v>0</v>
      </c>
      <c r="AA132" s="690">
        <f>+F132*G132*H132</f>
        <v>5.3360000000000003</v>
      </c>
      <c r="AB132" s="690">
        <f t="shared" ref="AB132" si="479">2*F132*W132*X132</f>
        <v>9.3339999999999996</v>
      </c>
      <c r="AC132" s="91"/>
      <c r="AD132" s="98"/>
      <c r="AE132" s="98">
        <f>+IF(D132=0.667,AD132*W132*H132*F132,0)</f>
        <v>0</v>
      </c>
      <c r="AF132" s="98">
        <f>+IF(D132=0.333,AD132*W132*H132*F132,0)</f>
        <v>0</v>
      </c>
      <c r="AG132" s="91"/>
      <c r="AH132" s="460"/>
      <c r="AI132" s="299">
        <f t="shared" si="472"/>
        <v>0</v>
      </c>
      <c r="AK132" s="301">
        <f t="shared" si="461"/>
        <v>-8</v>
      </c>
      <c r="AL132" s="301">
        <f t="shared" si="462"/>
        <v>0</v>
      </c>
      <c r="AM132" s="301">
        <f>+IF(D132=0.667,1.33,0)</f>
        <v>1.33</v>
      </c>
      <c r="AN132" s="301"/>
      <c r="AO132" s="299"/>
      <c r="AP132" s="301"/>
      <c r="AQ132" s="301"/>
    </row>
    <row r="133" spans="2:43" ht="20.100000000000001" customHeight="1" x14ac:dyDescent="0.3">
      <c r="B133" s="92"/>
      <c r="C133" s="96"/>
      <c r="D133" s="92"/>
      <c r="E133" s="92"/>
      <c r="F133" s="92"/>
      <c r="G133" s="92"/>
      <c r="H133" s="92"/>
      <c r="I133" s="94"/>
      <c r="J133" s="92"/>
      <c r="K133" s="92"/>
      <c r="L133" s="92"/>
      <c r="M133" s="92"/>
      <c r="N133" s="92"/>
      <c r="O133" s="92"/>
      <c r="P133" s="92"/>
      <c r="Q133" s="92"/>
      <c r="R133" s="92"/>
      <c r="S133" s="92"/>
      <c r="T133" s="92"/>
      <c r="U133" s="92"/>
      <c r="V133" s="95"/>
      <c r="W133" s="92"/>
      <c r="X133" s="92"/>
      <c r="Y133" s="92"/>
      <c r="Z133" s="92"/>
      <c r="AA133" s="92"/>
      <c r="AB133" s="92"/>
      <c r="AC133" s="95"/>
      <c r="AD133" s="92"/>
      <c r="AE133" s="92"/>
      <c r="AF133" s="92"/>
      <c r="AG133" s="95"/>
      <c r="AH133" s="692"/>
      <c r="AI133" s="306"/>
      <c r="AK133" s="301">
        <f t="shared" si="461"/>
        <v>0</v>
      </c>
      <c r="AL133" s="301">
        <f t="shared" si="462"/>
        <v>0</v>
      </c>
      <c r="AM133" s="301"/>
      <c r="AN133" s="301"/>
      <c r="AO133" s="299"/>
      <c r="AP133" s="301"/>
      <c r="AQ133" s="301"/>
    </row>
    <row r="134" spans="2:43" ht="20.100000000000001" customHeight="1" x14ac:dyDescent="0.3">
      <c r="B134" s="92"/>
      <c r="C134" s="97" t="s">
        <v>330</v>
      </c>
      <c r="D134" s="98"/>
      <c r="E134" s="92"/>
      <c r="F134" s="92"/>
      <c r="G134" s="98"/>
      <c r="H134" s="98"/>
      <c r="I134" s="94"/>
      <c r="J134" s="92"/>
      <c r="K134" s="92"/>
      <c r="L134" s="92"/>
      <c r="M134" s="92"/>
      <c r="N134" s="92"/>
      <c r="O134" s="92"/>
      <c r="P134" s="92"/>
      <c r="Q134" s="92"/>
      <c r="R134" s="92"/>
      <c r="S134" s="92"/>
      <c r="T134" s="92"/>
      <c r="U134" s="92"/>
      <c r="V134" s="91"/>
      <c r="W134" s="102"/>
      <c r="X134" s="98"/>
      <c r="Y134" s="102"/>
      <c r="Z134" s="98"/>
      <c r="AA134" s="98"/>
      <c r="AB134" s="98"/>
      <c r="AC134" s="91"/>
      <c r="AD134" s="98"/>
      <c r="AE134" s="98"/>
      <c r="AF134" s="98"/>
      <c r="AG134" s="91"/>
      <c r="AH134" s="460"/>
      <c r="AI134" s="299"/>
      <c r="AK134" s="301">
        <f t="shared" si="461"/>
        <v>0</v>
      </c>
      <c r="AL134" s="301">
        <f t="shared" si="462"/>
        <v>0</v>
      </c>
      <c r="AM134" s="301">
        <v>0</v>
      </c>
      <c r="AN134" s="301"/>
      <c r="AO134" s="299"/>
      <c r="AP134" s="301"/>
      <c r="AQ134" s="301"/>
    </row>
    <row r="135" spans="2:43" ht="20.100000000000001" customHeight="1" x14ac:dyDescent="0.3">
      <c r="B135" s="92"/>
      <c r="C135" s="95" t="s">
        <v>31</v>
      </c>
      <c r="D135" s="98">
        <v>0.66700000000000004</v>
      </c>
      <c r="E135" s="92">
        <v>1</v>
      </c>
      <c r="F135" s="92">
        <v>1</v>
      </c>
      <c r="G135" s="675">
        <f>(3.556)*3.281</f>
        <v>11.667236000000001</v>
      </c>
      <c r="H135" s="98">
        <f>+D135</f>
        <v>0.66700000000000004</v>
      </c>
      <c r="I135" s="94">
        <v>2</v>
      </c>
      <c r="J135" s="99">
        <v>3</v>
      </c>
      <c r="K135" s="100">
        <f>+IF(D135=0.667,E135*F135*G135*H135*J135,0)</f>
        <v>23.346139236000003</v>
      </c>
      <c r="L135" s="100">
        <f>+IF(D135=0.333,E135*F135*G135*J135,0)</f>
        <v>0</v>
      </c>
      <c r="M135" s="99">
        <v>4</v>
      </c>
      <c r="N135" s="100">
        <f>+IF(D135=0.667,E135*F135*G135*H135*M135,0)</f>
        <v>31.128185648000002</v>
      </c>
      <c r="O135" s="100">
        <f>+IF(D135=0.333,E135*F135*G135*M135,0)</f>
        <v>0</v>
      </c>
      <c r="P135" s="81">
        <f t="shared" ref="P135:P137" si="480">11.833-I135-M135-J135</f>
        <v>2.8330000000000002</v>
      </c>
      <c r="Q135" s="100">
        <f>+IF(D135=0.667,E135*F135*G135*H135*P135,0)</f>
        <v>22.046537485196001</v>
      </c>
      <c r="R135" s="100">
        <f>+IF(D135=0.333,E135*F135*G135*P135,0)</f>
        <v>0</v>
      </c>
      <c r="S135" s="101">
        <f t="shared" ref="S135:S137" si="481">+Q135+N135+K135</f>
        <v>76.52086236919601</v>
      </c>
      <c r="T135" s="101">
        <f t="shared" ref="T135:T137" si="482">+R135+O135+L135</f>
        <v>0</v>
      </c>
      <c r="U135" s="92"/>
      <c r="V135" s="91"/>
      <c r="W135" s="102"/>
      <c r="X135" s="98"/>
      <c r="Y135" s="102"/>
      <c r="Z135" s="98"/>
      <c r="AA135" s="98"/>
      <c r="AB135" s="98"/>
      <c r="AC135" s="91"/>
      <c r="AD135" s="98"/>
      <c r="AE135" s="98"/>
      <c r="AF135" s="98"/>
      <c r="AG135" s="91"/>
      <c r="AH135" s="460">
        <v>1</v>
      </c>
      <c r="AI135" s="299">
        <f>+AH135*G135*D135*0.17</f>
        <v>1.3229478900400002</v>
      </c>
      <c r="AK135" s="301">
        <f t="shared" si="461"/>
        <v>11.667236000000001</v>
      </c>
      <c r="AL135" s="301">
        <f t="shared" si="462"/>
        <v>0</v>
      </c>
      <c r="AM135" s="301"/>
      <c r="AN135" s="301"/>
      <c r="AO135" s="299"/>
      <c r="AP135" s="301"/>
      <c r="AQ135" s="301"/>
    </row>
    <row r="136" spans="2:43" ht="20.100000000000001" customHeight="1" x14ac:dyDescent="0.3">
      <c r="B136" s="92"/>
      <c r="C136" s="95" t="s">
        <v>38</v>
      </c>
      <c r="D136" s="98">
        <v>0.66700000000000004</v>
      </c>
      <c r="E136" s="92">
        <v>1</v>
      </c>
      <c r="F136" s="92">
        <v>1</v>
      </c>
      <c r="G136" s="675">
        <f>(2.969)*3.281</f>
        <v>9.7412890000000001</v>
      </c>
      <c r="H136" s="98">
        <f>+D136</f>
        <v>0.66700000000000004</v>
      </c>
      <c r="I136" s="94">
        <v>2</v>
      </c>
      <c r="J136" s="99">
        <v>3</v>
      </c>
      <c r="K136" s="100">
        <f>+IF(D136=0.667,E136*F136*G136*H136*J136,0)</f>
        <v>19.492319289000001</v>
      </c>
      <c r="L136" s="100">
        <f>+IF(D136=0.333,E136*F136*G136*J136,0)</f>
        <v>0</v>
      </c>
      <c r="M136" s="99">
        <v>4</v>
      </c>
      <c r="N136" s="100">
        <f>+IF(D136=0.667,E136*F136*G136*H136*M136,0)</f>
        <v>25.989759052</v>
      </c>
      <c r="O136" s="100">
        <f>+IF(D136=0.333,E136*F136*G136*M136,0)</f>
        <v>0</v>
      </c>
      <c r="P136" s="81">
        <f t="shared" si="480"/>
        <v>2.8330000000000002</v>
      </c>
      <c r="Q136" s="100">
        <f>+IF(D136=0.667,E136*F136*G136*H136*P136,0)</f>
        <v>18.407246848579</v>
      </c>
      <c r="R136" s="100">
        <f>+IF(D136=0.333,E136*F136*G136*P136,0)</f>
        <v>0</v>
      </c>
      <c r="S136" s="101">
        <f t="shared" si="481"/>
        <v>63.889325189579004</v>
      </c>
      <c r="T136" s="101">
        <f t="shared" si="482"/>
        <v>0</v>
      </c>
      <c r="U136" s="92"/>
      <c r="V136" s="91"/>
      <c r="W136" s="102"/>
      <c r="X136" s="98"/>
      <c r="Y136" s="102"/>
      <c r="Z136" s="98"/>
      <c r="AA136" s="98"/>
      <c r="AB136" s="98"/>
      <c r="AC136" s="91"/>
      <c r="AD136" s="98"/>
      <c r="AE136" s="98"/>
      <c r="AF136" s="98"/>
      <c r="AG136" s="91"/>
      <c r="AH136" s="460">
        <v>1</v>
      </c>
      <c r="AI136" s="299">
        <f>+AH136*G136*D136*0.17</f>
        <v>1.1045647597100001</v>
      </c>
      <c r="AK136" s="301">
        <f t="shared" si="461"/>
        <v>9.7412890000000001</v>
      </c>
      <c r="AL136" s="301">
        <f t="shared" si="462"/>
        <v>0</v>
      </c>
      <c r="AM136" s="301"/>
      <c r="AN136" s="301"/>
      <c r="AO136" s="299"/>
      <c r="AP136" s="301"/>
      <c r="AQ136" s="301"/>
    </row>
    <row r="137" spans="2:43" ht="20.100000000000001" customHeight="1" x14ac:dyDescent="0.3">
      <c r="B137" s="92"/>
      <c r="C137" s="95" t="s">
        <v>32</v>
      </c>
      <c r="D137" s="98">
        <v>0.66700000000000004</v>
      </c>
      <c r="E137" s="92">
        <v>1</v>
      </c>
      <c r="F137" s="92">
        <v>1</v>
      </c>
      <c r="G137" s="675">
        <f>(3.36)*3.281</f>
        <v>11.02416</v>
      </c>
      <c r="H137" s="98">
        <f>+D137</f>
        <v>0.66700000000000004</v>
      </c>
      <c r="I137" s="94">
        <v>2</v>
      </c>
      <c r="J137" s="99">
        <v>3</v>
      </c>
      <c r="K137" s="100">
        <f>+IF(D137=0.667,E137*F137*G137*H137*J137,0)</f>
        <v>22.059344160000002</v>
      </c>
      <c r="L137" s="100">
        <f>+IF(D137=0.333,E137*F137*G137*J137,0)</f>
        <v>0</v>
      </c>
      <c r="M137" s="99">
        <v>4</v>
      </c>
      <c r="N137" s="100">
        <f>+IF(D137=0.667,E137*F137*G137*H137*M137,0)</f>
        <v>29.412458880000003</v>
      </c>
      <c r="O137" s="100">
        <f>+IF(D137=0.333,E137*F137*G137*M137,0)</f>
        <v>0</v>
      </c>
      <c r="P137" s="81">
        <f t="shared" si="480"/>
        <v>2.8330000000000002</v>
      </c>
      <c r="Q137" s="100">
        <f>+IF(D137=0.667,E137*F137*G137*H137*P137,0)</f>
        <v>20.831374001760004</v>
      </c>
      <c r="R137" s="100">
        <f>+IF(D137=0.333,E137*F137*G137*P137,0)</f>
        <v>0</v>
      </c>
      <c r="S137" s="101">
        <f t="shared" si="481"/>
        <v>72.303177041760009</v>
      </c>
      <c r="T137" s="101">
        <f t="shared" si="482"/>
        <v>0</v>
      </c>
      <c r="U137" s="92"/>
      <c r="V137" s="91"/>
      <c r="W137" s="102"/>
      <c r="X137" s="98"/>
      <c r="Y137" s="102"/>
      <c r="Z137" s="98"/>
      <c r="AA137" s="98"/>
      <c r="AB137" s="98"/>
      <c r="AC137" s="91"/>
      <c r="AD137" s="98"/>
      <c r="AE137" s="98"/>
      <c r="AF137" s="98"/>
      <c r="AG137" s="91"/>
      <c r="AH137" s="460">
        <v>1</v>
      </c>
      <c r="AI137" s="299">
        <f>+AH137*G137*D137*0.17</f>
        <v>1.2500295024000001</v>
      </c>
      <c r="AK137" s="301">
        <f t="shared" si="461"/>
        <v>11.02416</v>
      </c>
      <c r="AL137" s="301">
        <f t="shared" si="462"/>
        <v>0</v>
      </c>
      <c r="AM137" s="301"/>
      <c r="AN137" s="301"/>
      <c r="AO137" s="299"/>
      <c r="AP137" s="301"/>
      <c r="AQ137" s="301"/>
    </row>
    <row r="138" spans="2:43" ht="20.100000000000001" customHeight="1" x14ac:dyDescent="0.3">
      <c r="B138" s="92"/>
      <c r="C138" s="96"/>
      <c r="D138" s="92"/>
      <c r="E138" s="92"/>
      <c r="F138" s="92"/>
      <c r="G138" s="92"/>
      <c r="H138" s="92"/>
      <c r="I138" s="94"/>
      <c r="J138" s="92"/>
      <c r="K138" s="92"/>
      <c r="L138" s="92"/>
      <c r="M138" s="92"/>
      <c r="N138" s="92"/>
      <c r="O138" s="92"/>
      <c r="P138" s="92"/>
      <c r="Q138" s="92"/>
      <c r="R138" s="92"/>
      <c r="S138" s="92"/>
      <c r="T138" s="92"/>
      <c r="U138" s="92"/>
      <c r="V138" s="95"/>
      <c r="W138" s="92"/>
      <c r="X138" s="92"/>
      <c r="Y138" s="92"/>
      <c r="Z138" s="92"/>
      <c r="AA138" s="92"/>
      <c r="AB138" s="92"/>
      <c r="AC138" s="95"/>
      <c r="AD138" s="92"/>
      <c r="AE138" s="92"/>
      <c r="AF138" s="92"/>
      <c r="AG138" s="95"/>
      <c r="AH138" s="692"/>
      <c r="AI138" s="306"/>
      <c r="AK138" s="301">
        <f t="shared" si="461"/>
        <v>0</v>
      </c>
      <c r="AL138" s="301">
        <f t="shared" si="462"/>
        <v>0</v>
      </c>
      <c r="AM138" s="301"/>
      <c r="AN138" s="301"/>
      <c r="AO138" s="299"/>
      <c r="AP138" s="301"/>
      <c r="AQ138" s="301"/>
    </row>
    <row r="139" spans="2:43" ht="20.100000000000001" customHeight="1" x14ac:dyDescent="0.3">
      <c r="B139" s="92"/>
      <c r="C139" s="97" t="s">
        <v>331</v>
      </c>
      <c r="D139" s="98"/>
      <c r="E139" s="92"/>
      <c r="F139" s="92"/>
      <c r="G139" s="98"/>
      <c r="H139" s="98"/>
      <c r="I139" s="94"/>
      <c r="J139" s="92"/>
      <c r="K139" s="92"/>
      <c r="L139" s="92"/>
      <c r="M139" s="92"/>
      <c r="N139" s="92"/>
      <c r="O139" s="92"/>
      <c r="P139" s="92"/>
      <c r="Q139" s="92"/>
      <c r="R139" s="92"/>
      <c r="S139" s="92"/>
      <c r="T139" s="92"/>
      <c r="U139" s="92"/>
      <c r="V139" s="91"/>
      <c r="W139" s="102"/>
      <c r="X139" s="98"/>
      <c r="Y139" s="102"/>
      <c r="Z139" s="98"/>
      <c r="AA139" s="98"/>
      <c r="AB139" s="98"/>
      <c r="AC139" s="91"/>
      <c r="AD139" s="98"/>
      <c r="AE139" s="98"/>
      <c r="AF139" s="98"/>
      <c r="AG139" s="91"/>
      <c r="AH139" s="460"/>
      <c r="AI139" s="299"/>
      <c r="AK139" s="301">
        <f t="shared" si="461"/>
        <v>0</v>
      </c>
      <c r="AL139" s="301">
        <f t="shared" si="462"/>
        <v>0</v>
      </c>
      <c r="AM139" s="301">
        <v>0</v>
      </c>
      <c r="AN139" s="301"/>
      <c r="AO139" s="299"/>
      <c r="AP139" s="301"/>
      <c r="AQ139" s="301"/>
    </row>
    <row r="140" spans="2:43" ht="20.100000000000001" customHeight="1" x14ac:dyDescent="0.3">
      <c r="B140" s="92"/>
      <c r="C140" s="95" t="s">
        <v>33</v>
      </c>
      <c r="D140" s="98">
        <v>0.66700000000000004</v>
      </c>
      <c r="E140" s="92">
        <v>1</v>
      </c>
      <c r="F140" s="92">
        <v>1</v>
      </c>
      <c r="G140" s="675">
        <f>(1.63+0.99)*3.281</f>
        <v>8.5962200000000006</v>
      </c>
      <c r="H140" s="98">
        <f>+D140</f>
        <v>0.66700000000000004</v>
      </c>
      <c r="I140" s="94">
        <v>2</v>
      </c>
      <c r="J140" s="99">
        <v>3</v>
      </c>
      <c r="K140" s="100">
        <f>+IF(D140=0.667,E140*F140*G140*H140*J140,0)</f>
        <v>17.201036220000002</v>
      </c>
      <c r="L140" s="100">
        <f>+IF(D140=0.333,E140*F140*G140*J140,0)</f>
        <v>0</v>
      </c>
      <c r="M140" s="99">
        <v>4</v>
      </c>
      <c r="N140" s="100">
        <f>+IF(D140=0.667,E140*F140*G140*H140*M140,0)</f>
        <v>22.934714960000004</v>
      </c>
      <c r="O140" s="100">
        <f>+IF(D140=0.333,E140*F140*G140*M140,0)</f>
        <v>0</v>
      </c>
      <c r="P140" s="81">
        <f t="shared" ref="P140:P141" si="483">11.833-I140-M140-J140</f>
        <v>2.8330000000000002</v>
      </c>
      <c r="Q140" s="100">
        <f>+IF(D140=0.667,E140*F140*G140*H140*P140,0)</f>
        <v>16.243511870420004</v>
      </c>
      <c r="R140" s="100">
        <f>+IF(D140=0.333,E140*F140*G140*P140,0)</f>
        <v>0</v>
      </c>
      <c r="S140" s="101">
        <f t="shared" ref="S140:S141" si="484">+Q140+N140+K140</f>
        <v>56.379263050420008</v>
      </c>
      <c r="T140" s="101">
        <f t="shared" ref="T140:T141" si="485">+R140+O140+L140</f>
        <v>0</v>
      </c>
      <c r="U140" s="92"/>
      <c r="V140" s="91"/>
      <c r="W140" s="102"/>
      <c r="X140" s="98"/>
      <c r="Y140" s="102"/>
      <c r="Z140" s="98"/>
      <c r="AA140" s="98"/>
      <c r="AB140" s="98"/>
      <c r="AC140" s="91"/>
      <c r="AD140" s="98"/>
      <c r="AE140" s="98"/>
      <c r="AF140" s="98"/>
      <c r="AG140" s="91"/>
      <c r="AH140" s="460">
        <v>1</v>
      </c>
      <c r="AI140" s="299">
        <f>+AH140*G140*D140*0.17</f>
        <v>0.97472538580000023</v>
      </c>
      <c r="AK140" s="301">
        <f t="shared" si="461"/>
        <v>8.5962200000000006</v>
      </c>
      <c r="AL140" s="301">
        <f t="shared" si="462"/>
        <v>0</v>
      </c>
      <c r="AM140" s="301"/>
      <c r="AN140" s="301"/>
      <c r="AO140" s="299"/>
      <c r="AP140" s="301"/>
      <c r="AQ140" s="301"/>
    </row>
    <row r="141" spans="2:43" ht="20.100000000000001" customHeight="1" x14ac:dyDescent="0.3">
      <c r="B141" s="92"/>
      <c r="C141" s="95" t="s">
        <v>31</v>
      </c>
      <c r="D141" s="98">
        <v>0.66700000000000004</v>
      </c>
      <c r="E141" s="92">
        <v>1</v>
      </c>
      <c r="F141" s="92">
        <v>1</v>
      </c>
      <c r="G141" s="675">
        <f>(1.9)*3.281</f>
        <v>6.2339000000000002</v>
      </c>
      <c r="H141" s="98">
        <f>+D141</f>
        <v>0.66700000000000004</v>
      </c>
      <c r="I141" s="94">
        <v>2</v>
      </c>
      <c r="J141" s="99">
        <v>3</v>
      </c>
      <c r="K141" s="100">
        <f>+IF(D141=0.667,E141*F141*G141*H141*J141,0)</f>
        <v>12.4740339</v>
      </c>
      <c r="L141" s="100">
        <f>+IF(D141=0.333,E141*F141*G141*J141,0)</f>
        <v>0</v>
      </c>
      <c r="M141" s="99">
        <v>4</v>
      </c>
      <c r="N141" s="100">
        <f>+IF(D141=0.667,E141*F141*G141*H141*M141,0)</f>
        <v>16.6320452</v>
      </c>
      <c r="O141" s="100">
        <f>+IF(D141=0.333,E141*F141*G141*M141,0)</f>
        <v>0</v>
      </c>
      <c r="P141" s="81">
        <f t="shared" si="483"/>
        <v>2.8330000000000002</v>
      </c>
      <c r="Q141" s="100">
        <f>+IF(D141=0.667,E141*F141*G141*H141*P141,0)</f>
        <v>11.779646012900001</v>
      </c>
      <c r="R141" s="100">
        <f>+IF(D141=0.333,E141*F141*G141*P141,0)</f>
        <v>0</v>
      </c>
      <c r="S141" s="101">
        <f t="shared" si="484"/>
        <v>40.885725112900005</v>
      </c>
      <c r="T141" s="101">
        <f t="shared" si="485"/>
        <v>0</v>
      </c>
      <c r="U141" s="92"/>
      <c r="V141" s="91"/>
      <c r="W141" s="102"/>
      <c r="X141" s="98"/>
      <c r="Y141" s="102"/>
      <c r="Z141" s="98"/>
      <c r="AA141" s="98"/>
      <c r="AB141" s="98"/>
      <c r="AC141" s="91"/>
      <c r="AD141" s="98"/>
      <c r="AE141" s="98"/>
      <c r="AF141" s="98"/>
      <c r="AG141" s="91"/>
      <c r="AH141" s="460">
        <v>1</v>
      </c>
      <c r="AI141" s="299">
        <f>+AH141*G141*D141*0.17</f>
        <v>0.70686192100000012</v>
      </c>
      <c r="AK141" s="301">
        <f t="shared" si="461"/>
        <v>6.2339000000000002</v>
      </c>
      <c r="AL141" s="301">
        <f t="shared" si="462"/>
        <v>0</v>
      </c>
      <c r="AM141" s="301"/>
      <c r="AN141" s="301"/>
      <c r="AO141" s="299"/>
      <c r="AP141" s="301"/>
      <c r="AQ141" s="301"/>
    </row>
    <row r="142" spans="2:43" ht="20.100000000000001" customHeight="1" x14ac:dyDescent="0.3">
      <c r="B142" s="92"/>
      <c r="C142" s="95"/>
      <c r="D142" s="98"/>
      <c r="E142" s="92"/>
      <c r="F142" s="92"/>
      <c r="G142" s="98"/>
      <c r="H142" s="98"/>
      <c r="I142" s="102"/>
      <c r="J142" s="92"/>
      <c r="K142" s="92"/>
      <c r="L142" s="92"/>
      <c r="M142" s="92"/>
      <c r="N142" s="92"/>
      <c r="O142" s="92"/>
      <c r="P142" s="92"/>
      <c r="Q142" s="92"/>
      <c r="R142" s="92"/>
      <c r="S142" s="92"/>
      <c r="T142" s="92"/>
      <c r="U142" s="92"/>
      <c r="V142" s="91"/>
      <c r="W142" s="98"/>
      <c r="X142" s="98"/>
      <c r="Y142" s="98"/>
      <c r="Z142" s="98"/>
      <c r="AA142" s="98"/>
      <c r="AB142" s="98"/>
      <c r="AC142" s="91"/>
      <c r="AD142" s="98"/>
      <c r="AE142" s="98"/>
      <c r="AF142" s="98"/>
      <c r="AG142" s="91"/>
      <c r="AH142" s="296"/>
      <c r="AI142" s="301"/>
      <c r="AK142" s="301">
        <f t="shared" si="461"/>
        <v>0</v>
      </c>
      <c r="AL142" s="301">
        <f t="shared" si="462"/>
        <v>0</v>
      </c>
      <c r="AM142" s="301"/>
      <c r="AN142" s="301"/>
      <c r="AO142" s="299"/>
      <c r="AP142" s="301"/>
      <c r="AQ142" s="301"/>
    </row>
    <row r="143" spans="2:43" ht="20.100000000000001" customHeight="1" x14ac:dyDescent="0.3">
      <c r="B143" s="92"/>
      <c r="C143" s="97" t="s">
        <v>332</v>
      </c>
      <c r="D143" s="98"/>
      <c r="E143" s="92"/>
      <c r="F143" s="92"/>
      <c r="G143" s="98"/>
      <c r="H143" s="98"/>
      <c r="I143" s="94"/>
      <c r="J143" s="92"/>
      <c r="K143" s="92"/>
      <c r="L143" s="92"/>
      <c r="M143" s="92"/>
      <c r="N143" s="92"/>
      <c r="O143" s="92"/>
      <c r="P143" s="92"/>
      <c r="Q143" s="92"/>
      <c r="R143" s="92"/>
      <c r="S143" s="92"/>
      <c r="T143" s="92"/>
      <c r="U143" s="92"/>
      <c r="V143" s="91"/>
      <c r="W143" s="102"/>
      <c r="X143" s="98"/>
      <c r="Y143" s="102"/>
      <c r="Z143" s="98"/>
      <c r="AA143" s="98"/>
      <c r="AB143" s="98"/>
      <c r="AC143" s="91"/>
      <c r="AD143" s="98"/>
      <c r="AE143" s="98"/>
      <c r="AF143" s="98"/>
      <c r="AG143" s="91"/>
      <c r="AH143" s="692"/>
      <c r="AI143" s="299"/>
      <c r="AK143" s="301">
        <f t="shared" si="461"/>
        <v>0</v>
      </c>
      <c r="AL143" s="301">
        <f t="shared" si="462"/>
        <v>0</v>
      </c>
      <c r="AM143" s="301"/>
      <c r="AN143" s="301">
        <f>+IF(D143=0.333,1.33,0)</f>
        <v>0</v>
      </c>
      <c r="AO143" s="299"/>
      <c r="AP143" s="301"/>
      <c r="AQ143" s="301"/>
    </row>
    <row r="144" spans="2:43" ht="20.100000000000001" customHeight="1" x14ac:dyDescent="0.3">
      <c r="B144" s="92"/>
      <c r="C144" s="95" t="s">
        <v>33</v>
      </c>
      <c r="D144" s="98">
        <v>0.66700000000000004</v>
      </c>
      <c r="E144" s="92">
        <v>1</v>
      </c>
      <c r="F144" s="92">
        <v>1</v>
      </c>
      <c r="G144" s="675">
        <f>+(2.14*3.281)</f>
        <v>7.0213400000000004</v>
      </c>
      <c r="H144" s="98">
        <f>+D144</f>
        <v>0.66700000000000004</v>
      </c>
      <c r="I144" s="94">
        <v>2</v>
      </c>
      <c r="J144" s="99">
        <v>3</v>
      </c>
      <c r="K144" s="100">
        <f>+IF(D144=0.667,E144*F144*G144*H144*J144,0)</f>
        <v>14.04970134</v>
      </c>
      <c r="L144" s="100">
        <f>+IF(D144=0.333,E144*F144*G144*J144,0)</f>
        <v>0</v>
      </c>
      <c r="M144" s="99">
        <v>4</v>
      </c>
      <c r="N144" s="100">
        <f>+IF(D144=0.667,E144*F144*G144*H144*M144,0)</f>
        <v>18.73293512</v>
      </c>
      <c r="O144" s="100">
        <f>+IF(D144=0.333,E144*F144*G144*M144,0)</f>
        <v>0</v>
      </c>
      <c r="P144" s="81">
        <f>11.833-I144-M144-J144</f>
        <v>2.8330000000000002</v>
      </c>
      <c r="Q144" s="100">
        <f>+IF(D144=0.667,E144*F144*G144*H144*P144,0)</f>
        <v>13.267601298740001</v>
      </c>
      <c r="R144" s="100">
        <f>+IF(D144=0.333,E144*F144*G144*P144,0)</f>
        <v>0</v>
      </c>
      <c r="S144" s="101">
        <f t="shared" ref="S144:S147" si="486">+Q144+N144+K144</f>
        <v>46.050237758739996</v>
      </c>
      <c r="T144" s="101">
        <f t="shared" ref="T144:T147" si="487">+R144+O144+L144</f>
        <v>0</v>
      </c>
      <c r="U144" s="92"/>
      <c r="V144" s="91"/>
      <c r="W144" s="102"/>
      <c r="X144" s="98"/>
      <c r="Y144" s="102"/>
      <c r="Z144" s="98"/>
      <c r="AA144" s="98"/>
      <c r="AB144" s="98"/>
      <c r="AC144" s="91"/>
      <c r="AD144" s="98"/>
      <c r="AE144" s="98"/>
      <c r="AF144" s="98"/>
      <c r="AG144" s="91"/>
      <c r="AH144" s="692">
        <v>1</v>
      </c>
      <c r="AI144" s="299">
        <f>+AH144*G144*D144*0.17</f>
        <v>0.79614974260000004</v>
      </c>
      <c r="AK144" s="301">
        <f t="shared" si="461"/>
        <v>7.0213400000000004</v>
      </c>
      <c r="AL144" s="301">
        <f t="shared" si="462"/>
        <v>0</v>
      </c>
      <c r="AM144" s="301"/>
      <c r="AN144" s="301">
        <f>+IF(D144=0.333,1.33,0)</f>
        <v>0</v>
      </c>
      <c r="AO144" s="299"/>
      <c r="AP144" s="301">
        <f>+S144</f>
        <v>46.050237758739996</v>
      </c>
      <c r="AQ144" s="301"/>
    </row>
    <row r="145" spans="2:43" ht="20.100000000000001" customHeight="1" x14ac:dyDescent="0.3">
      <c r="B145" s="18"/>
      <c r="C145" s="62" t="s">
        <v>130</v>
      </c>
      <c r="D145" s="98">
        <v>0.66700000000000004</v>
      </c>
      <c r="E145" s="18">
        <v>-1</v>
      </c>
      <c r="F145" s="18">
        <v>1</v>
      </c>
      <c r="G145" s="675">
        <v>3</v>
      </c>
      <c r="H145" s="20">
        <f t="shared" ref="H145" si="488">+D145</f>
        <v>0.66700000000000004</v>
      </c>
      <c r="I145" s="21"/>
      <c r="J145" s="22">
        <v>3</v>
      </c>
      <c r="K145" s="103">
        <f t="shared" ref="K145" si="489">+IF(D145=0.667,E145*F145*G145*H145*J145,0)</f>
        <v>-6.003000000000001</v>
      </c>
      <c r="L145" s="103">
        <f t="shared" ref="L145" si="490">+IF(D145=0.333,E145*F145*G145*J145,0)</f>
        <v>0</v>
      </c>
      <c r="M145" s="81">
        <v>4</v>
      </c>
      <c r="N145" s="103">
        <f t="shared" ref="N145" si="491">+IF(D145=0.667,E145*F145*G145*H145*M145,0)</f>
        <v>-8.0040000000000013</v>
      </c>
      <c r="O145" s="103">
        <f t="shared" ref="O145" si="492">+IF(D145=0.333,E145*F145*G145*M145,0)</f>
        <v>0</v>
      </c>
      <c r="P145" s="81"/>
      <c r="Q145" s="103">
        <f t="shared" ref="Q145" si="493">+IF(D145=0.667,E145*F145*G145*H145*P145,0)</f>
        <v>0</v>
      </c>
      <c r="R145" s="103">
        <f t="shared" ref="R145" si="494">+IF(D145=0.333,E145*F145*G145*P145,0)</f>
        <v>0</v>
      </c>
      <c r="S145" s="104">
        <f t="shared" si="486"/>
        <v>-14.007000000000001</v>
      </c>
      <c r="T145" s="104">
        <f t="shared" si="487"/>
        <v>0</v>
      </c>
      <c r="U145" s="18"/>
      <c r="V145" s="26"/>
      <c r="W145" s="225">
        <f>+G145+D145</f>
        <v>3.6669999999999998</v>
      </c>
      <c r="X145" s="225">
        <v>0.5</v>
      </c>
      <c r="Y145" s="225">
        <f>+IF(D145=0.667,-E145*F145*H145*W145*X145,0)</f>
        <v>1.2229445000000001</v>
      </c>
      <c r="Z145" s="225">
        <f>+IF(D145=0.333,-E145*F145*H145*W145*X145,0)</f>
        <v>0</v>
      </c>
      <c r="AA145" s="225">
        <f>+F145*G145*H145</f>
        <v>2.0010000000000003</v>
      </c>
      <c r="AB145" s="225">
        <f t="shared" ref="AB145" si="495">2*F145*W145*X145</f>
        <v>3.6669999999999998</v>
      </c>
      <c r="AC145" s="27"/>
      <c r="AD145" s="21"/>
      <c r="AE145" s="21"/>
      <c r="AF145" s="21"/>
      <c r="AG145" s="27"/>
      <c r="AH145" s="306"/>
      <c r="AI145" s="299"/>
      <c r="AK145" s="301">
        <f t="shared" si="461"/>
        <v>-3</v>
      </c>
      <c r="AL145" s="301">
        <f t="shared" si="462"/>
        <v>0</v>
      </c>
      <c r="AM145" s="301"/>
      <c r="AN145" s="301"/>
      <c r="AO145" s="299"/>
      <c r="AP145" s="301">
        <f t="shared" ref="AP145:AP147" si="496">+S145</f>
        <v>-14.007000000000001</v>
      </c>
      <c r="AQ145" s="301"/>
    </row>
    <row r="146" spans="2:43" ht="20.100000000000001" customHeight="1" x14ac:dyDescent="0.3">
      <c r="B146" s="92"/>
      <c r="C146" s="95" t="s">
        <v>38</v>
      </c>
      <c r="D146" s="98">
        <v>0.66700000000000004</v>
      </c>
      <c r="E146" s="92">
        <v>1</v>
      </c>
      <c r="F146" s="92">
        <v>1</v>
      </c>
      <c r="G146" s="675">
        <f>(2.55)*3.281</f>
        <v>8.3665500000000002</v>
      </c>
      <c r="H146" s="98">
        <f>+D146</f>
        <v>0.66700000000000004</v>
      </c>
      <c r="I146" s="94">
        <v>2</v>
      </c>
      <c r="J146" s="99">
        <v>3</v>
      </c>
      <c r="K146" s="100">
        <f>+IF(D146=0.667,E146*F146*G146*H146*J146,0)</f>
        <v>16.741466549999998</v>
      </c>
      <c r="L146" s="100">
        <f>+IF(D146=0.333,E146*F146*G146*J146,0)</f>
        <v>0</v>
      </c>
      <c r="M146" s="99">
        <v>4</v>
      </c>
      <c r="N146" s="100">
        <f>+IF(D146=0.667,E146*F146*G146*H146*M146,0)</f>
        <v>22.3219554</v>
      </c>
      <c r="O146" s="100">
        <f>+IF(D146=0.333,E146*F146*G146*M146,0)</f>
        <v>0</v>
      </c>
      <c r="P146" s="81">
        <f t="shared" ref="P146:P147" si="497">11.833-I146-M146-J146</f>
        <v>2.8330000000000002</v>
      </c>
      <c r="Q146" s="100">
        <f>+IF(D146=0.667,E146*F146*G146*H146*P146,0)</f>
        <v>15.809524912050001</v>
      </c>
      <c r="R146" s="100">
        <f>+IF(D146=0.333,E146*F146*G146*P146,0)</f>
        <v>0</v>
      </c>
      <c r="S146" s="101">
        <f t="shared" si="486"/>
        <v>54.87294686205</v>
      </c>
      <c r="T146" s="101">
        <f t="shared" si="487"/>
        <v>0</v>
      </c>
      <c r="U146" s="92"/>
      <c r="V146" s="91"/>
      <c r="W146" s="102"/>
      <c r="X146" s="98"/>
      <c r="Y146" s="102"/>
      <c r="Z146" s="98"/>
      <c r="AA146" s="98"/>
      <c r="AB146" s="98"/>
      <c r="AC146" s="91"/>
      <c r="AD146" s="98"/>
      <c r="AE146" s="98"/>
      <c r="AF146" s="98"/>
      <c r="AG146" s="91"/>
      <c r="AH146" s="460">
        <v>1</v>
      </c>
      <c r="AI146" s="299">
        <f>+AH146*G146*D146*0.17</f>
        <v>0.94868310450000004</v>
      </c>
      <c r="AK146" s="301">
        <f t="shared" si="461"/>
        <v>8.3665500000000002</v>
      </c>
      <c r="AL146" s="301">
        <f t="shared" si="462"/>
        <v>0</v>
      </c>
      <c r="AM146" s="301"/>
      <c r="AN146" s="301"/>
      <c r="AO146" s="299"/>
      <c r="AP146" s="301">
        <f t="shared" si="496"/>
        <v>54.87294686205</v>
      </c>
      <c r="AQ146" s="301"/>
    </row>
    <row r="147" spans="2:43" ht="20.100000000000001" customHeight="1" x14ac:dyDescent="0.3">
      <c r="B147" s="92"/>
      <c r="C147" s="95" t="s">
        <v>32</v>
      </c>
      <c r="D147" s="98">
        <v>0.66700000000000004</v>
      </c>
      <c r="E147" s="92">
        <v>1</v>
      </c>
      <c r="F147" s="92">
        <v>1</v>
      </c>
      <c r="G147" s="675">
        <f>(2.14)*3.281</f>
        <v>7.0213400000000004</v>
      </c>
      <c r="H147" s="98">
        <f>+D147</f>
        <v>0.66700000000000004</v>
      </c>
      <c r="I147" s="94">
        <v>2</v>
      </c>
      <c r="J147" s="99">
        <v>3</v>
      </c>
      <c r="K147" s="100">
        <f>+IF(D147=0.667,E147*F147*G147*H147*J147,0)</f>
        <v>14.04970134</v>
      </c>
      <c r="L147" s="100">
        <f>+IF(D147=0.333,E147*F147*G147*J147,0)</f>
        <v>0</v>
      </c>
      <c r="M147" s="99">
        <v>4</v>
      </c>
      <c r="N147" s="100">
        <f>+IF(D147=0.667,E147*F147*G147*H147*M147,0)</f>
        <v>18.73293512</v>
      </c>
      <c r="O147" s="100">
        <f>+IF(D147=0.333,E147*F147*G147*M147,0)</f>
        <v>0</v>
      </c>
      <c r="P147" s="81">
        <f t="shared" si="497"/>
        <v>2.8330000000000002</v>
      </c>
      <c r="Q147" s="100">
        <f>+IF(D147=0.667,E147*F147*G147*H147*P147,0)</f>
        <v>13.267601298740001</v>
      </c>
      <c r="R147" s="100">
        <f>+IF(D147=0.333,E147*F147*G147*P147,0)</f>
        <v>0</v>
      </c>
      <c r="S147" s="101">
        <f t="shared" si="486"/>
        <v>46.050237758739996</v>
      </c>
      <c r="T147" s="101">
        <f t="shared" si="487"/>
        <v>0</v>
      </c>
      <c r="U147" s="92"/>
      <c r="V147" s="91"/>
      <c r="W147" s="102"/>
      <c r="X147" s="98"/>
      <c r="Y147" s="102"/>
      <c r="Z147" s="98"/>
      <c r="AA147" s="98"/>
      <c r="AB147" s="98"/>
      <c r="AC147" s="91"/>
      <c r="AD147" s="98"/>
      <c r="AE147" s="98"/>
      <c r="AF147" s="98"/>
      <c r="AG147" s="91"/>
      <c r="AH147" s="460">
        <v>1</v>
      </c>
      <c r="AI147" s="299">
        <f>+AH147*G147*D147*0.17</f>
        <v>0.79614974260000004</v>
      </c>
      <c r="AK147" s="301">
        <f t="shared" si="461"/>
        <v>7.0213400000000004</v>
      </c>
      <c r="AL147" s="301">
        <f t="shared" si="462"/>
        <v>0</v>
      </c>
      <c r="AM147" s="301"/>
      <c r="AN147" s="301"/>
      <c r="AO147" s="299"/>
      <c r="AP147" s="301">
        <f t="shared" si="496"/>
        <v>46.050237758739996</v>
      </c>
      <c r="AQ147" s="301"/>
    </row>
    <row r="148" spans="2:43" ht="20.100000000000001" customHeight="1" x14ac:dyDescent="0.3">
      <c r="B148" s="369"/>
      <c r="C148" s="370"/>
      <c r="D148" s="371"/>
      <c r="E148" s="369"/>
      <c r="F148" s="369"/>
      <c r="G148" s="371"/>
      <c r="H148" s="371"/>
      <c r="I148" s="372"/>
      <c r="J148" s="92"/>
      <c r="K148" s="92"/>
      <c r="L148" s="92"/>
      <c r="M148" s="92"/>
      <c r="N148" s="92"/>
      <c r="O148" s="92"/>
      <c r="P148" s="92"/>
      <c r="Q148" s="92"/>
      <c r="R148" s="92"/>
      <c r="S148" s="92"/>
      <c r="T148" s="92"/>
      <c r="U148" s="369"/>
      <c r="V148" s="373"/>
      <c r="W148" s="374"/>
      <c r="X148" s="371"/>
      <c r="Y148" s="374"/>
      <c r="Z148" s="371"/>
      <c r="AA148" s="371"/>
      <c r="AB148" s="371"/>
      <c r="AC148" s="373"/>
      <c r="AD148" s="371"/>
      <c r="AE148" s="371"/>
      <c r="AF148" s="371"/>
      <c r="AG148" s="373"/>
      <c r="AH148" s="401"/>
      <c r="AI148" s="374"/>
      <c r="AK148" s="301">
        <f t="shared" si="461"/>
        <v>0</v>
      </c>
      <c r="AL148" s="301">
        <f t="shared" si="462"/>
        <v>0</v>
      </c>
      <c r="AM148" s="378"/>
      <c r="AN148" s="378"/>
      <c r="AO148" s="374"/>
      <c r="AP148" s="378"/>
      <c r="AQ148" s="378"/>
    </row>
    <row r="149" spans="2:43" ht="20.100000000000001" customHeight="1" x14ac:dyDescent="0.3">
      <c r="B149" s="92"/>
      <c r="C149" s="97" t="s">
        <v>332</v>
      </c>
      <c r="D149" s="98"/>
      <c r="E149" s="92"/>
      <c r="F149" s="92"/>
      <c r="G149" s="98"/>
      <c r="H149" s="98"/>
      <c r="I149" s="94"/>
      <c r="J149" s="92"/>
      <c r="K149" s="92"/>
      <c r="L149" s="92"/>
      <c r="M149" s="92"/>
      <c r="N149" s="92"/>
      <c r="O149" s="92"/>
      <c r="P149" s="92"/>
      <c r="Q149" s="92"/>
      <c r="R149" s="92"/>
      <c r="S149" s="92"/>
      <c r="T149" s="92"/>
      <c r="U149" s="92"/>
      <c r="V149" s="91"/>
      <c r="W149" s="102"/>
      <c r="X149" s="98"/>
      <c r="Y149" s="102"/>
      <c r="Z149" s="98"/>
      <c r="AA149" s="98"/>
      <c r="AB149" s="98"/>
      <c r="AC149" s="91"/>
      <c r="AD149" s="98"/>
      <c r="AE149" s="98"/>
      <c r="AF149" s="98"/>
      <c r="AG149" s="91"/>
      <c r="AH149" s="692"/>
      <c r="AI149" s="299"/>
      <c r="AK149" s="301">
        <f t="shared" si="461"/>
        <v>0</v>
      </c>
      <c r="AL149" s="301">
        <f t="shared" si="462"/>
        <v>0</v>
      </c>
      <c r="AM149" s="301"/>
      <c r="AN149" s="301">
        <f>+IF(D149=0.333,1.33,0)</f>
        <v>0</v>
      </c>
      <c r="AO149" s="299"/>
      <c r="AP149" s="301">
        <f t="shared" ref="AP149" si="498">+S149</f>
        <v>0</v>
      </c>
      <c r="AQ149" s="301"/>
    </row>
    <row r="150" spans="2:43" ht="20.100000000000001" customHeight="1" x14ac:dyDescent="0.3">
      <c r="B150" s="92"/>
      <c r="C150" s="95" t="s">
        <v>33</v>
      </c>
      <c r="D150" s="98">
        <v>0.66700000000000004</v>
      </c>
      <c r="E150" s="92">
        <v>1</v>
      </c>
      <c r="F150" s="92">
        <v>1</v>
      </c>
      <c r="G150" s="675">
        <f>+(2.14*3.281)</f>
        <v>7.0213400000000004</v>
      </c>
      <c r="H150" s="98">
        <f>+D150</f>
        <v>0.66700000000000004</v>
      </c>
      <c r="I150" s="94">
        <v>2</v>
      </c>
      <c r="J150" s="99">
        <v>3</v>
      </c>
      <c r="K150" s="100">
        <f>+IF(D150=0.667,E150*F150*G150*H150*J150,0)</f>
        <v>14.04970134</v>
      </c>
      <c r="L150" s="100">
        <f>+IF(D150=0.333,E150*F150*G150*J150,0)</f>
        <v>0</v>
      </c>
      <c r="M150" s="99">
        <v>4</v>
      </c>
      <c r="N150" s="100">
        <f>+IF(D150=0.667,E150*F150*G150*H150*M150,0)</f>
        <v>18.73293512</v>
      </c>
      <c r="O150" s="100">
        <f>+IF(D150=0.333,E150*F150*G150*M150,0)</f>
        <v>0</v>
      </c>
      <c r="P150" s="81">
        <f>11.833-I150-M150-J150</f>
        <v>2.8330000000000002</v>
      </c>
      <c r="Q150" s="100">
        <f>+IF(D150=0.667,E150*F150*G150*H150*P150,0)</f>
        <v>13.267601298740001</v>
      </c>
      <c r="R150" s="100">
        <f>+IF(D150=0.333,E150*F150*G150*P150,0)</f>
        <v>0</v>
      </c>
      <c r="S150" s="101">
        <f t="shared" ref="S150:S153" si="499">+Q150+N150+K150</f>
        <v>46.050237758739996</v>
      </c>
      <c r="T150" s="101">
        <f t="shared" ref="T150:T153" si="500">+R150+O150+L150</f>
        <v>0</v>
      </c>
      <c r="U150" s="92"/>
      <c r="V150" s="91"/>
      <c r="W150" s="102"/>
      <c r="X150" s="98"/>
      <c r="Y150" s="102"/>
      <c r="Z150" s="98"/>
      <c r="AA150" s="98"/>
      <c r="AB150" s="98"/>
      <c r="AC150" s="91"/>
      <c r="AD150" s="98"/>
      <c r="AE150" s="98"/>
      <c r="AF150" s="98"/>
      <c r="AG150" s="91"/>
      <c r="AH150" s="692">
        <v>1</v>
      </c>
      <c r="AI150" s="299">
        <f>+AH150*G150*D150*0.17</f>
        <v>0.79614974260000004</v>
      </c>
      <c r="AK150" s="301">
        <f t="shared" si="461"/>
        <v>7.0213400000000004</v>
      </c>
      <c r="AL150" s="301">
        <f t="shared" si="462"/>
        <v>0</v>
      </c>
      <c r="AM150" s="301"/>
      <c r="AN150" s="301">
        <f>+IF(D150=0.333,1.33,0)</f>
        <v>0</v>
      </c>
      <c r="AO150" s="299"/>
      <c r="AP150" s="301">
        <f>+S150</f>
        <v>46.050237758739996</v>
      </c>
      <c r="AQ150" s="301"/>
    </row>
    <row r="151" spans="2:43" ht="20.100000000000001" customHeight="1" x14ac:dyDescent="0.3">
      <c r="B151" s="18"/>
      <c r="C151" s="62" t="s">
        <v>130</v>
      </c>
      <c r="D151" s="98">
        <v>0.66700000000000004</v>
      </c>
      <c r="E151" s="18">
        <v>-1</v>
      </c>
      <c r="F151" s="18">
        <v>1</v>
      </c>
      <c r="G151" s="675">
        <v>3</v>
      </c>
      <c r="H151" s="20">
        <f t="shared" ref="H151" si="501">+D151</f>
        <v>0.66700000000000004</v>
      </c>
      <c r="I151" s="21"/>
      <c r="J151" s="22">
        <v>3</v>
      </c>
      <c r="K151" s="103">
        <f t="shared" ref="K151" si="502">+IF(D151=0.667,E151*F151*G151*H151*J151,0)</f>
        <v>-6.003000000000001</v>
      </c>
      <c r="L151" s="103">
        <f t="shared" ref="L151" si="503">+IF(D151=0.333,E151*F151*G151*J151,0)</f>
        <v>0</v>
      </c>
      <c r="M151" s="81">
        <v>4</v>
      </c>
      <c r="N151" s="103">
        <f t="shared" ref="N151" si="504">+IF(D151=0.667,E151*F151*G151*H151*M151,0)</f>
        <v>-8.0040000000000013</v>
      </c>
      <c r="O151" s="103">
        <f t="shared" ref="O151" si="505">+IF(D151=0.333,E151*F151*G151*M151,0)</f>
        <v>0</v>
      </c>
      <c r="P151" s="81"/>
      <c r="Q151" s="103">
        <f t="shared" ref="Q151" si="506">+IF(D151=0.667,E151*F151*G151*H151*P151,0)</f>
        <v>0</v>
      </c>
      <c r="R151" s="103">
        <f t="shared" ref="R151" si="507">+IF(D151=0.333,E151*F151*G151*P151,0)</f>
        <v>0</v>
      </c>
      <c r="S151" s="104">
        <f t="shared" si="499"/>
        <v>-14.007000000000001</v>
      </c>
      <c r="T151" s="104">
        <f t="shared" si="500"/>
        <v>0</v>
      </c>
      <c r="U151" s="18"/>
      <c r="V151" s="26"/>
      <c r="W151" s="225">
        <f>+G151+D151</f>
        <v>3.6669999999999998</v>
      </c>
      <c r="X151" s="225">
        <v>0.5</v>
      </c>
      <c r="Y151" s="225">
        <f>+IF(D151=0.667,-E151*F151*H151*W151*X151,0)</f>
        <v>1.2229445000000001</v>
      </c>
      <c r="Z151" s="225">
        <f>+IF(D151=0.333,-E151*F151*H151*W151*X151,0)</f>
        <v>0</v>
      </c>
      <c r="AA151" s="225">
        <f>+F151*G151*H151</f>
        <v>2.0010000000000003</v>
      </c>
      <c r="AB151" s="225">
        <f t="shared" ref="AB151" si="508">2*F151*W151*X151</f>
        <v>3.6669999999999998</v>
      </c>
      <c r="AC151" s="27"/>
      <c r="AD151" s="21"/>
      <c r="AE151" s="21"/>
      <c r="AF151" s="21"/>
      <c r="AG151" s="27"/>
      <c r="AH151" s="306"/>
      <c r="AI151" s="299"/>
      <c r="AK151" s="301">
        <f t="shared" ref="AK151" si="509">+IF(D151=0.667,E151*F151*G151,0)</f>
        <v>-3</v>
      </c>
      <c r="AL151" s="301">
        <f t="shared" ref="AL151" si="510">+IF(D151=0.333,E151*F151*G151,0)</f>
        <v>0</v>
      </c>
      <c r="AM151" s="301"/>
      <c r="AN151" s="301"/>
      <c r="AO151" s="299"/>
      <c r="AP151" s="301">
        <f t="shared" ref="AP151" si="511">+S151</f>
        <v>-14.007000000000001</v>
      </c>
      <c r="AQ151" s="301"/>
    </row>
    <row r="152" spans="2:43" ht="20.100000000000001" customHeight="1" x14ac:dyDescent="0.3">
      <c r="B152" s="92"/>
      <c r="C152" s="95" t="s">
        <v>38</v>
      </c>
      <c r="D152" s="98">
        <v>0.66700000000000004</v>
      </c>
      <c r="E152" s="92">
        <v>1</v>
      </c>
      <c r="F152" s="92">
        <v>1</v>
      </c>
      <c r="G152" s="675">
        <f>(2.55)*3.281</f>
        <v>8.3665500000000002</v>
      </c>
      <c r="H152" s="98">
        <f>+D152</f>
        <v>0.66700000000000004</v>
      </c>
      <c r="I152" s="94">
        <v>2</v>
      </c>
      <c r="J152" s="99">
        <v>3</v>
      </c>
      <c r="K152" s="100">
        <f>+IF(D152=0.667,E152*F152*G152*H152*J152,0)</f>
        <v>16.741466549999998</v>
      </c>
      <c r="L152" s="100">
        <f>+IF(D152=0.333,E152*F152*G152*J152,0)</f>
        <v>0</v>
      </c>
      <c r="M152" s="99">
        <v>4</v>
      </c>
      <c r="N152" s="100">
        <f>+IF(D152=0.667,E152*F152*G152*H152*M152,0)</f>
        <v>22.3219554</v>
      </c>
      <c r="O152" s="100">
        <f>+IF(D152=0.333,E152*F152*G152*M152,0)</f>
        <v>0</v>
      </c>
      <c r="P152" s="81">
        <f t="shared" ref="P152:P153" si="512">11.833-I152-M152-J152</f>
        <v>2.8330000000000002</v>
      </c>
      <c r="Q152" s="100">
        <f>+IF(D152=0.667,E152*F152*G152*H152*P152,0)</f>
        <v>15.809524912050001</v>
      </c>
      <c r="R152" s="100">
        <f>+IF(D152=0.333,E152*F152*G152*P152,0)</f>
        <v>0</v>
      </c>
      <c r="S152" s="101">
        <f t="shared" si="499"/>
        <v>54.87294686205</v>
      </c>
      <c r="T152" s="101">
        <f t="shared" si="500"/>
        <v>0</v>
      </c>
      <c r="U152" s="92"/>
      <c r="V152" s="91"/>
      <c r="W152" s="102"/>
      <c r="X152" s="98"/>
      <c r="Y152" s="102"/>
      <c r="Z152" s="98"/>
      <c r="AA152" s="98"/>
      <c r="AB152" s="98"/>
      <c r="AC152" s="91"/>
      <c r="AD152" s="98"/>
      <c r="AE152" s="98"/>
      <c r="AF152" s="98"/>
      <c r="AG152" s="91"/>
      <c r="AH152" s="460">
        <v>1</v>
      </c>
      <c r="AI152" s="299">
        <f>+AH152*G152*D152*0.17</f>
        <v>0.94868310450000004</v>
      </c>
      <c r="AK152" s="301">
        <f t="shared" si="461"/>
        <v>8.3665500000000002</v>
      </c>
      <c r="AL152" s="301">
        <f t="shared" si="462"/>
        <v>0</v>
      </c>
      <c r="AM152" s="301"/>
      <c r="AN152" s="301"/>
      <c r="AO152" s="299"/>
      <c r="AP152" s="301">
        <f t="shared" ref="AP152:AP153" si="513">+S152</f>
        <v>54.87294686205</v>
      </c>
      <c r="AQ152" s="301"/>
    </row>
    <row r="153" spans="2:43" ht="20.100000000000001" customHeight="1" x14ac:dyDescent="0.3">
      <c r="B153" s="92"/>
      <c r="C153" s="95" t="s">
        <v>32</v>
      </c>
      <c r="D153" s="98">
        <v>0.66700000000000004</v>
      </c>
      <c r="E153" s="92">
        <v>1</v>
      </c>
      <c r="F153" s="92">
        <v>1</v>
      </c>
      <c r="G153" s="675">
        <f>(2.14)*3.281</f>
        <v>7.0213400000000004</v>
      </c>
      <c r="H153" s="98">
        <f>+D153</f>
        <v>0.66700000000000004</v>
      </c>
      <c r="I153" s="94">
        <v>2</v>
      </c>
      <c r="J153" s="99">
        <v>3</v>
      </c>
      <c r="K153" s="100">
        <f>+IF(D153=0.667,E153*F153*G153*H153*J153,0)</f>
        <v>14.04970134</v>
      </c>
      <c r="L153" s="100">
        <f>+IF(D153=0.333,E153*F153*G153*J153,0)</f>
        <v>0</v>
      </c>
      <c r="M153" s="99">
        <v>4</v>
      </c>
      <c r="N153" s="100">
        <f>+IF(D153=0.667,E153*F153*G153*H153*M153,0)</f>
        <v>18.73293512</v>
      </c>
      <c r="O153" s="100">
        <f>+IF(D153=0.333,E153*F153*G153*M153,0)</f>
        <v>0</v>
      </c>
      <c r="P153" s="81">
        <f t="shared" si="512"/>
        <v>2.8330000000000002</v>
      </c>
      <c r="Q153" s="100">
        <f>+IF(D153=0.667,E153*F153*G153*H153*P153,0)</f>
        <v>13.267601298740001</v>
      </c>
      <c r="R153" s="100">
        <f>+IF(D153=0.333,E153*F153*G153*P153,0)</f>
        <v>0</v>
      </c>
      <c r="S153" s="101">
        <f t="shared" si="499"/>
        <v>46.050237758739996</v>
      </c>
      <c r="T153" s="101">
        <f t="shared" si="500"/>
        <v>0</v>
      </c>
      <c r="U153" s="92"/>
      <c r="V153" s="91"/>
      <c r="W153" s="102"/>
      <c r="X153" s="98"/>
      <c r="Y153" s="102"/>
      <c r="Z153" s="98"/>
      <c r="AA153" s="98"/>
      <c r="AB153" s="98"/>
      <c r="AC153" s="91"/>
      <c r="AD153" s="98"/>
      <c r="AE153" s="98"/>
      <c r="AF153" s="98"/>
      <c r="AG153" s="91"/>
      <c r="AH153" s="460">
        <v>1</v>
      </c>
      <c r="AI153" s="299">
        <f>+AH153*G153*D153*0.17</f>
        <v>0.79614974260000004</v>
      </c>
      <c r="AK153" s="301">
        <f t="shared" si="461"/>
        <v>7.0213400000000004</v>
      </c>
      <c r="AL153" s="301">
        <f t="shared" si="462"/>
        <v>0</v>
      </c>
      <c r="AM153" s="301"/>
      <c r="AN153" s="301"/>
      <c r="AO153" s="299"/>
      <c r="AP153" s="301">
        <f t="shared" si="513"/>
        <v>46.050237758739996</v>
      </c>
      <c r="AQ153" s="301"/>
    </row>
    <row r="154" spans="2:43" ht="20.100000000000001" customHeight="1" x14ac:dyDescent="0.3">
      <c r="B154" s="92"/>
      <c r="C154" s="393"/>
      <c r="D154" s="98"/>
      <c r="E154" s="92"/>
      <c r="F154" s="92"/>
      <c r="G154" s="98"/>
      <c r="H154" s="98"/>
      <c r="I154" s="94"/>
      <c r="J154" s="98"/>
      <c r="K154" s="98"/>
      <c r="L154" s="98"/>
      <c r="M154" s="98"/>
      <c r="N154" s="98"/>
      <c r="O154" s="98"/>
      <c r="P154" s="98"/>
      <c r="Q154" s="98"/>
      <c r="R154" s="98"/>
      <c r="S154" s="98"/>
      <c r="T154" s="98"/>
      <c r="U154" s="92"/>
      <c r="V154" s="95"/>
      <c r="W154" s="94"/>
      <c r="X154" s="98"/>
      <c r="Y154" s="94"/>
      <c r="Z154" s="98"/>
      <c r="AA154" s="98"/>
      <c r="AB154" s="98"/>
      <c r="AC154" s="95"/>
      <c r="AD154" s="98"/>
      <c r="AE154" s="98"/>
      <c r="AF154" s="98"/>
      <c r="AG154" s="95"/>
      <c r="AH154" s="692"/>
      <c r="AI154" s="394"/>
      <c r="AK154" s="306"/>
      <c r="AL154" s="306"/>
      <c r="AM154" s="306"/>
      <c r="AN154" s="306"/>
      <c r="AO154" s="394"/>
      <c r="AP154" s="306"/>
      <c r="AQ154" s="306"/>
    </row>
    <row r="155" spans="2:43" ht="20.100000000000001" customHeight="1" x14ac:dyDescent="0.3">
      <c r="B155" s="92">
        <v>1</v>
      </c>
      <c r="C155" s="93" t="s">
        <v>354</v>
      </c>
      <c r="D155" s="92"/>
      <c r="E155" s="92"/>
      <c r="F155" s="92"/>
      <c r="G155" s="92"/>
      <c r="H155" s="92"/>
      <c r="I155" s="94"/>
      <c r="J155" s="92"/>
      <c r="K155" s="92"/>
      <c r="L155" s="92"/>
      <c r="M155" s="92"/>
      <c r="N155" s="92"/>
      <c r="O155" s="92"/>
      <c r="P155" s="92"/>
      <c r="Q155" s="92"/>
      <c r="R155" s="92"/>
      <c r="S155" s="92"/>
      <c r="T155" s="92"/>
      <c r="U155" s="92"/>
      <c r="V155" s="95"/>
      <c r="W155" s="92"/>
      <c r="X155" s="92"/>
      <c r="Y155" s="92"/>
      <c r="Z155" s="92"/>
      <c r="AA155" s="92"/>
      <c r="AB155" s="92"/>
      <c r="AC155" s="95"/>
      <c r="AD155" s="92"/>
      <c r="AE155" s="92"/>
      <c r="AF155" s="92"/>
      <c r="AG155" s="95"/>
      <c r="AH155" s="460"/>
      <c r="AI155" s="301"/>
      <c r="AK155" s="301"/>
      <c r="AL155" s="301"/>
      <c r="AM155" s="301"/>
      <c r="AN155" s="301"/>
      <c r="AO155" s="299"/>
      <c r="AP155" s="301"/>
      <c r="AQ155" s="301"/>
    </row>
    <row r="156" spans="2:43" ht="20.100000000000001" customHeight="1" x14ac:dyDescent="0.3">
      <c r="B156" s="92"/>
      <c r="C156" s="95" t="s">
        <v>33</v>
      </c>
      <c r="D156" s="98">
        <v>0.66700000000000004</v>
      </c>
      <c r="E156" s="92">
        <v>1</v>
      </c>
      <c r="F156" s="92">
        <v>1</v>
      </c>
      <c r="G156" s="671">
        <f>(5.213+7.717+7.714+7.701+8.198+6.113+5.433)*3.281</f>
        <v>157.78000900000001</v>
      </c>
      <c r="H156" s="98">
        <f>+D156</f>
        <v>0.66700000000000004</v>
      </c>
      <c r="I156" s="94">
        <v>2</v>
      </c>
      <c r="J156" s="99">
        <v>3</v>
      </c>
      <c r="K156" s="100">
        <f>+IF(D156=0.667,E156*F156*G156*H156*J156,0)</f>
        <v>315.71779800900003</v>
      </c>
      <c r="L156" s="100">
        <f>+IF(D156=0.333,E156*F156*G156*J156,0)</f>
        <v>0</v>
      </c>
      <c r="M156" s="99">
        <v>4</v>
      </c>
      <c r="N156" s="100">
        <f>+IF(D156=0.667,E156*F156*G156*H156*M156,0)</f>
        <v>420.95706401200005</v>
      </c>
      <c r="O156" s="100">
        <f>+IF(D156=0.333,E156*F156*G156*M156,0)</f>
        <v>0</v>
      </c>
      <c r="P156" s="81">
        <f>11.833-I156-M156-J156</f>
        <v>2.8330000000000002</v>
      </c>
      <c r="Q156" s="100">
        <f>+IF(D156=0.667,E156*F156*G156*H156*P156,0)</f>
        <v>298.14284058649906</v>
      </c>
      <c r="R156" s="100">
        <f>+IF(D156=0.333,E156*F156*G156*P156,0)</f>
        <v>0</v>
      </c>
      <c r="S156" s="101">
        <f t="shared" ref="S156:S158" si="514">+Q156+N156+K156</f>
        <v>1034.8177026074991</v>
      </c>
      <c r="T156" s="101">
        <f t="shared" ref="T156:T158" si="515">+R156+O156+L156</f>
        <v>0</v>
      </c>
      <c r="U156" s="92"/>
      <c r="V156" s="91"/>
      <c r="W156" s="102"/>
      <c r="X156" s="98"/>
      <c r="Y156" s="102"/>
      <c r="Z156" s="98"/>
      <c r="AA156" s="98"/>
      <c r="AB156" s="98"/>
      <c r="AC156" s="91"/>
      <c r="AD156" s="98"/>
      <c r="AE156" s="98"/>
      <c r="AF156" s="98"/>
      <c r="AG156" s="91"/>
      <c r="AH156" s="692">
        <v>1</v>
      </c>
      <c r="AI156" s="299">
        <f>+AH156*G156*D156*0.17</f>
        <v>17.890675220510005</v>
      </c>
      <c r="AK156" s="301">
        <f t="shared" ref="AK156:AK157" si="516">+IF(D156=0.667,E156*F156*G156,0)</f>
        <v>157.78000900000001</v>
      </c>
      <c r="AL156" s="301">
        <f t="shared" ref="AL156:AL158" si="517">+IF(D156=0.333,E156*F156*G156,0)</f>
        <v>0</v>
      </c>
      <c r="AM156" s="301"/>
      <c r="AN156" s="301">
        <f>+IF(D156=0.333,1.33,0)</f>
        <v>0</v>
      </c>
      <c r="AO156" s="299"/>
      <c r="AP156" s="301"/>
      <c r="AQ156" s="301"/>
    </row>
    <row r="157" spans="2:43" s="412" customFormat="1" ht="20.100000000000001" customHeight="1" x14ac:dyDescent="0.3">
      <c r="B157" s="402"/>
      <c r="C157" s="403" t="s">
        <v>355</v>
      </c>
      <c r="D157" s="416">
        <v>0.66700000000000004</v>
      </c>
      <c r="E157" s="402">
        <v>-1</v>
      </c>
      <c r="F157" s="402">
        <v>1</v>
      </c>
      <c r="G157" s="672">
        <f>(3.862+2.919+2.92)*3.281</f>
        <v>31.828981000000002</v>
      </c>
      <c r="H157" s="404">
        <f t="shared" ref="H157:H158" si="518">+D157</f>
        <v>0.66700000000000004</v>
      </c>
      <c r="I157" s="94">
        <v>2</v>
      </c>
      <c r="J157" s="417">
        <v>3</v>
      </c>
      <c r="K157" s="407">
        <f t="shared" ref="K157:K158" si="519">+IF(D157=0.667,E157*F157*G157*H157*J157,0)</f>
        <v>-63.689790981000002</v>
      </c>
      <c r="L157" s="407">
        <f t="shared" ref="L157:L158" si="520">+IF(D157=0.333,E157*F157*G157*J157,0)</f>
        <v>0</v>
      </c>
      <c r="M157" s="406">
        <v>4</v>
      </c>
      <c r="N157" s="407">
        <f t="shared" ref="N157:N158" si="521">+IF(D157=0.667,E157*F157*G157*H157*M157,0)</f>
        <v>-84.919721308000007</v>
      </c>
      <c r="O157" s="407">
        <f t="shared" ref="O157:O158" si="522">+IF(D157=0.333,E157*F157*G157*M157,0)</f>
        <v>0</v>
      </c>
      <c r="P157" s="406">
        <v>1</v>
      </c>
      <c r="Q157" s="407">
        <f t="shared" ref="Q157:Q158" si="523">+IF(D157=0.667,E157*F157*G157*H157*P157,0)</f>
        <v>-21.229930327000002</v>
      </c>
      <c r="R157" s="407">
        <f t="shared" ref="R157:R158" si="524">+IF(D157=0.333,E157*F157*G157*P157,0)</f>
        <v>0</v>
      </c>
      <c r="S157" s="408">
        <f t="shared" si="514"/>
        <v>-169.83944261600001</v>
      </c>
      <c r="T157" s="408">
        <f t="shared" si="515"/>
        <v>0</v>
      </c>
      <c r="U157" s="402"/>
      <c r="V157" s="409"/>
      <c r="W157" s="691">
        <f>+G157+D157</f>
        <v>32.495981</v>
      </c>
      <c r="X157" s="691">
        <v>0.5</v>
      </c>
      <c r="Y157" s="691">
        <f>+IF(D157=0.667,-E157*F157*H157*W157*X157,0)</f>
        <v>10.837409663500001</v>
      </c>
      <c r="Z157" s="691">
        <f>+IF(D157=0.333,-E157*F157*H157*W157*X157,0)</f>
        <v>0</v>
      </c>
      <c r="AA157" s="691">
        <f>+F157*G157*H157</f>
        <v>21.229930327000002</v>
      </c>
      <c r="AB157" s="691">
        <f t="shared" ref="AB157:AB158" si="525">2*F157*W157*X157</f>
        <v>32.495981</v>
      </c>
      <c r="AC157" s="410"/>
      <c r="AD157" s="405"/>
      <c r="AE157" s="405"/>
      <c r="AF157" s="405"/>
      <c r="AG157" s="410"/>
      <c r="AH157" s="418"/>
      <c r="AI157" s="414"/>
      <c r="AK157" s="413">
        <f t="shared" si="516"/>
        <v>-31.828981000000002</v>
      </c>
      <c r="AL157" s="413">
        <f t="shared" si="517"/>
        <v>0</v>
      </c>
      <c r="AM157" s="413"/>
      <c r="AN157" s="413"/>
      <c r="AO157" s="414"/>
      <c r="AP157" s="413"/>
      <c r="AQ157" s="413"/>
    </row>
    <row r="158" spans="2:43" ht="20.100000000000001" customHeight="1" x14ac:dyDescent="0.3">
      <c r="B158" s="92"/>
      <c r="C158" s="95" t="s">
        <v>347</v>
      </c>
      <c r="D158" s="98">
        <v>0.66700000000000004</v>
      </c>
      <c r="E158" s="92">
        <v>-1</v>
      </c>
      <c r="F158" s="673">
        <f>10*0+8</f>
        <v>8</v>
      </c>
      <c r="G158" s="671">
        <v>6</v>
      </c>
      <c r="H158" s="98">
        <f t="shared" si="518"/>
        <v>0.66700000000000004</v>
      </c>
      <c r="I158" s="94"/>
      <c r="J158" s="99"/>
      <c r="K158" s="100">
        <f t="shared" si="519"/>
        <v>0</v>
      </c>
      <c r="L158" s="100">
        <f t="shared" si="520"/>
        <v>0</v>
      </c>
      <c r="M158" s="99">
        <v>4</v>
      </c>
      <c r="N158" s="100">
        <f t="shared" si="521"/>
        <v>-128.06400000000002</v>
      </c>
      <c r="O158" s="100">
        <f t="shared" si="522"/>
        <v>0</v>
      </c>
      <c r="P158" s="81">
        <v>0</v>
      </c>
      <c r="Q158" s="100">
        <f t="shared" si="523"/>
        <v>0</v>
      </c>
      <c r="R158" s="100">
        <f t="shared" si="524"/>
        <v>0</v>
      </c>
      <c r="S158" s="101">
        <f t="shared" si="514"/>
        <v>-128.06400000000002</v>
      </c>
      <c r="T158" s="101">
        <f t="shared" si="515"/>
        <v>0</v>
      </c>
      <c r="U158" s="92"/>
      <c r="V158" s="91"/>
      <c r="W158" s="454">
        <f>+G158+D158</f>
        <v>6.6669999999999998</v>
      </c>
      <c r="X158" s="690">
        <v>0.5</v>
      </c>
      <c r="Y158" s="454">
        <f>+IF(D158=0.667,-E158*F158*H158*W158*X158,0)</f>
        <v>17.787556000000002</v>
      </c>
      <c r="Z158" s="690">
        <f>+IF(D158=0.333,-E158*F158*H158*W158*X158,0)</f>
        <v>0</v>
      </c>
      <c r="AA158" s="690">
        <f>+F158*G158*H158</f>
        <v>32.016000000000005</v>
      </c>
      <c r="AB158" s="690">
        <f t="shared" si="525"/>
        <v>53.335999999999999</v>
      </c>
      <c r="AC158" s="91"/>
      <c r="AD158" s="98">
        <v>0.16700000000000001</v>
      </c>
      <c r="AE158" s="98">
        <f t="shared" ref="AE158" si="526">+IF(D158=0.667,AD158*W158*H158*F158,0)</f>
        <v>5.9410437040000001</v>
      </c>
      <c r="AF158" s="98">
        <f t="shared" ref="AF158" si="527">+IF(D158=0.333,AD158*W158*H158*F158,0)</f>
        <v>0</v>
      </c>
      <c r="AG158" s="91"/>
      <c r="AH158" s="692"/>
      <c r="AI158" s="299">
        <f t="shared" ref="AI158" si="528">+AH158*G158*D158*0.17</f>
        <v>0</v>
      </c>
      <c r="AK158" s="301"/>
      <c r="AL158" s="301">
        <f t="shared" si="517"/>
        <v>0</v>
      </c>
      <c r="AM158" s="301"/>
      <c r="AN158" s="301"/>
      <c r="AO158" s="299"/>
      <c r="AP158" s="301"/>
      <c r="AQ158" s="301"/>
    </row>
    <row r="159" spans="2:43" ht="20.100000000000001" customHeight="1" x14ac:dyDescent="0.3">
      <c r="B159" s="92"/>
      <c r="C159" s="95" t="s">
        <v>358</v>
      </c>
      <c r="D159" s="98">
        <v>0.66700000000000004</v>
      </c>
      <c r="E159" s="92">
        <v>1</v>
      </c>
      <c r="F159" s="92">
        <v>1</v>
      </c>
      <c r="G159" s="671">
        <f>(5.549+3.698)*3.281</f>
        <v>30.339407000000001</v>
      </c>
      <c r="H159" s="98">
        <f>+D159</f>
        <v>0.66700000000000004</v>
      </c>
      <c r="I159" s="94">
        <v>2</v>
      </c>
      <c r="J159" s="99">
        <v>3</v>
      </c>
      <c r="K159" s="100">
        <f>+IF(D159=0.667,E159*F159*G159*H159*J159,0)</f>
        <v>60.709153407000002</v>
      </c>
      <c r="L159" s="100">
        <f>+IF(D159=0.333,E159*F159*G159*J159,0)</f>
        <v>0</v>
      </c>
      <c r="M159" s="99">
        <v>4</v>
      </c>
      <c r="N159" s="100">
        <f>+IF(D159=0.667,E159*F159*G159*H159*M159,0)</f>
        <v>80.945537876000003</v>
      </c>
      <c r="O159" s="100">
        <f>+IF(D159=0.333,E159*F159*G159*M159,0)</f>
        <v>0</v>
      </c>
      <c r="P159" s="81">
        <f t="shared" ref="P159:P160" si="529">11.833-I159-M159-J159</f>
        <v>2.8330000000000002</v>
      </c>
      <c r="Q159" s="100">
        <f>+IF(D159=0.667,E159*F159*G159*H159*P159,0)</f>
        <v>57.329677200677004</v>
      </c>
      <c r="R159" s="100">
        <f>+IF(D159=0.333,E159*F159*G159*P159,0)</f>
        <v>0</v>
      </c>
      <c r="S159" s="101">
        <f t="shared" ref="S159" si="530">+Q159+N159+K159</f>
        <v>198.984368483677</v>
      </c>
      <c r="T159" s="101">
        <f t="shared" ref="T159" si="531">+R159+O159+L159</f>
        <v>0</v>
      </c>
      <c r="U159" s="92"/>
      <c r="V159" s="91"/>
      <c r="W159" s="102"/>
      <c r="X159" s="98"/>
      <c r="Y159" s="102"/>
      <c r="Z159" s="98"/>
      <c r="AA159" s="98"/>
      <c r="AB159" s="98"/>
      <c r="AC159" s="91"/>
      <c r="AD159" s="98"/>
      <c r="AE159" s="98"/>
      <c r="AF159" s="98"/>
      <c r="AG159" s="91"/>
      <c r="AH159" s="692">
        <v>1</v>
      </c>
      <c r="AI159" s="299">
        <f>+AH159*G159*D159*0.17</f>
        <v>3.4401853597300005</v>
      </c>
      <c r="AK159" s="301">
        <f t="shared" ref="AK159" si="532">+IF(D159=0.667,E159*F159*G159,0)</f>
        <v>30.339407000000001</v>
      </c>
      <c r="AL159" s="301">
        <f t="shared" ref="AL159" si="533">+IF(D159=0.333,E159*F159*G159,0)</f>
        <v>0</v>
      </c>
      <c r="AM159" s="301"/>
      <c r="AN159" s="301">
        <f>+IF(D159=0.333,1.33,0)</f>
        <v>0</v>
      </c>
      <c r="AO159" s="299"/>
      <c r="AP159" s="301"/>
      <c r="AQ159" s="301"/>
    </row>
    <row r="160" spans="2:43" ht="20.100000000000001" customHeight="1" x14ac:dyDescent="0.3">
      <c r="B160" s="92"/>
      <c r="C160" s="95" t="s">
        <v>32</v>
      </c>
      <c r="D160" s="98">
        <v>0.66700000000000004</v>
      </c>
      <c r="E160" s="92">
        <v>1</v>
      </c>
      <c r="F160" s="92">
        <v>1</v>
      </c>
      <c r="G160" s="671">
        <f>(7.972+2.603+7.64+6.704)*3.281</f>
        <v>81.759239000000008</v>
      </c>
      <c r="H160" s="98">
        <f>+D160</f>
        <v>0.66700000000000004</v>
      </c>
      <c r="I160" s="94">
        <v>2</v>
      </c>
      <c r="J160" s="99">
        <v>3</v>
      </c>
      <c r="K160" s="100">
        <f>+IF(D160=0.667,E160*F160*G160*H160*J160,0)</f>
        <v>163.60023723900002</v>
      </c>
      <c r="L160" s="100">
        <f>+IF(D160=0.333,E160*F160*G160*J160,0)</f>
        <v>0</v>
      </c>
      <c r="M160" s="99">
        <v>4</v>
      </c>
      <c r="N160" s="100">
        <f>+IF(D160=0.667,E160*F160*G160*H160*M160,0)</f>
        <v>218.13364965200003</v>
      </c>
      <c r="O160" s="100">
        <f>+IF(D160=0.333,E160*F160*G160*M160,0)</f>
        <v>0</v>
      </c>
      <c r="P160" s="81">
        <f t="shared" si="529"/>
        <v>2.8330000000000002</v>
      </c>
      <c r="Q160" s="100">
        <f>+IF(D160=0.667,E160*F160*G160*H160*P160,0)</f>
        <v>154.49315736602904</v>
      </c>
      <c r="R160" s="100">
        <f>+IF(D160=0.333,E160*F160*G160*P160,0)</f>
        <v>0</v>
      </c>
      <c r="S160" s="101">
        <f t="shared" ref="S160:S161" si="534">+Q160+N160+K160</f>
        <v>536.22704425702909</v>
      </c>
      <c r="T160" s="101">
        <f t="shared" ref="T160:T161" si="535">+R160+O160+L160</f>
        <v>0</v>
      </c>
      <c r="U160" s="92"/>
      <c r="V160" s="91"/>
      <c r="W160" s="102"/>
      <c r="X160" s="98"/>
      <c r="Y160" s="102"/>
      <c r="Z160" s="98"/>
      <c r="AA160" s="98"/>
      <c r="AB160" s="98"/>
      <c r="AC160" s="91"/>
      <c r="AD160" s="98"/>
      <c r="AE160" s="98"/>
      <c r="AF160" s="98"/>
      <c r="AG160" s="91"/>
      <c r="AH160" s="692">
        <v>1</v>
      </c>
      <c r="AI160" s="299">
        <f>+AH160*G160*D160*0.17</f>
        <v>9.2706801102100016</v>
      </c>
      <c r="AK160" s="301">
        <f t="shared" ref="AK160" si="536">+IF(D160=0.667,E160*F160*G160,0)</f>
        <v>81.759239000000008</v>
      </c>
      <c r="AL160" s="301">
        <f t="shared" ref="AL160:AL161" si="537">+IF(D160=0.333,E160*F160*G160,0)</f>
        <v>0</v>
      </c>
      <c r="AM160" s="301"/>
      <c r="AN160" s="301">
        <f>+IF(D160=0.333,1.33,0)</f>
        <v>0</v>
      </c>
      <c r="AO160" s="299"/>
      <c r="AP160" s="301"/>
      <c r="AQ160" s="301"/>
    </row>
    <row r="161" spans="2:43" ht="20.100000000000001" customHeight="1" x14ac:dyDescent="0.3">
      <c r="B161" s="92"/>
      <c r="C161" s="95" t="s">
        <v>347</v>
      </c>
      <c r="D161" s="98">
        <v>0.66700000000000004</v>
      </c>
      <c r="E161" s="92">
        <v>-1</v>
      </c>
      <c r="F161" s="92">
        <v>3</v>
      </c>
      <c r="G161" s="671">
        <v>6</v>
      </c>
      <c r="H161" s="98">
        <f t="shared" ref="H161" si="538">+D161</f>
        <v>0.66700000000000004</v>
      </c>
      <c r="I161" s="94"/>
      <c r="J161" s="99"/>
      <c r="K161" s="100">
        <f t="shared" ref="K161" si="539">+IF(D161=0.667,E161*F161*G161*H161*J161,0)</f>
        <v>0</v>
      </c>
      <c r="L161" s="100">
        <f t="shared" ref="L161" si="540">+IF(D161=0.333,E161*F161*G161*J161,0)</f>
        <v>0</v>
      </c>
      <c r="M161" s="99">
        <v>4</v>
      </c>
      <c r="N161" s="100">
        <f t="shared" ref="N161" si="541">+IF(D161=0.667,E161*F161*G161*H161*M161,0)</f>
        <v>-48.024000000000001</v>
      </c>
      <c r="O161" s="100">
        <f t="shared" ref="O161" si="542">+IF(D161=0.333,E161*F161*G161*M161,0)</f>
        <v>0</v>
      </c>
      <c r="P161" s="81">
        <v>0</v>
      </c>
      <c r="Q161" s="100">
        <f t="shared" ref="Q161" si="543">+IF(D161=0.667,E161*F161*G161*H161*P161,0)</f>
        <v>0</v>
      </c>
      <c r="R161" s="100">
        <f t="shared" ref="R161" si="544">+IF(D161=0.333,E161*F161*G161*P161,0)</f>
        <v>0</v>
      </c>
      <c r="S161" s="101">
        <f t="shared" si="534"/>
        <v>-48.024000000000001</v>
      </c>
      <c r="T161" s="101">
        <f t="shared" si="535"/>
        <v>0</v>
      </c>
      <c r="U161" s="92"/>
      <c r="V161" s="91"/>
      <c r="W161" s="454">
        <f>+G161+D161</f>
        <v>6.6669999999999998</v>
      </c>
      <c r="X161" s="690">
        <v>0.5</v>
      </c>
      <c r="Y161" s="454">
        <f>+IF(D161=0.667,-E161*F161*H161*W161*X161,0)</f>
        <v>6.6703335000000008</v>
      </c>
      <c r="Z161" s="690">
        <f>+IF(D161=0.333,-E161*F161*H161*W161*X161,0)</f>
        <v>0</v>
      </c>
      <c r="AA161" s="690">
        <f>+F161*G161*H161</f>
        <v>12.006</v>
      </c>
      <c r="AB161" s="690">
        <f t="shared" ref="AB161" si="545">2*F161*W161*X161</f>
        <v>20.000999999999998</v>
      </c>
      <c r="AC161" s="91"/>
      <c r="AD161" s="98">
        <v>0.16700000000000001</v>
      </c>
      <c r="AE161" s="98">
        <f t="shared" ref="AE161" si="546">+IF(D161=0.667,AD161*W161*H161*F161,0)</f>
        <v>2.2278913889999998</v>
      </c>
      <c r="AF161" s="98">
        <f t="shared" ref="AF161" si="547">+IF(D161=0.333,AD161*W161*H161*F161,0)</f>
        <v>0</v>
      </c>
      <c r="AG161" s="91"/>
      <c r="AH161" s="692"/>
      <c r="AI161" s="299">
        <f t="shared" ref="AI161" si="548">+AH161*G161*D161*0.17</f>
        <v>0</v>
      </c>
      <c r="AK161" s="301"/>
      <c r="AL161" s="301">
        <f t="shared" si="537"/>
        <v>0</v>
      </c>
      <c r="AM161" s="301"/>
      <c r="AN161" s="301"/>
      <c r="AO161" s="299"/>
      <c r="AP161" s="301"/>
      <c r="AQ161" s="301"/>
    </row>
    <row r="162" spans="2:43" ht="20.100000000000001" customHeight="1" x14ac:dyDescent="0.3">
      <c r="B162" s="92"/>
      <c r="C162" s="95" t="s">
        <v>486</v>
      </c>
      <c r="D162" s="98">
        <v>0.66700000000000004</v>
      </c>
      <c r="E162" s="92">
        <v>1</v>
      </c>
      <c r="F162" s="92">
        <v>1</v>
      </c>
      <c r="G162" s="671">
        <f>+(1.247+4.434+0.2+0.2+4.408+0.2+0.2+4.408+0.2+0.2+1.694+0.2)*3.281</f>
        <v>57.716070999999992</v>
      </c>
      <c r="H162" s="98">
        <f>+D162</f>
        <v>0.66700000000000004</v>
      </c>
      <c r="I162" s="94">
        <v>2</v>
      </c>
      <c r="J162" s="99">
        <v>3</v>
      </c>
      <c r="K162" s="100">
        <f>+IF(D162=0.667,E162*F162*G162*H162*J162,0)</f>
        <v>115.489858071</v>
      </c>
      <c r="L162" s="100">
        <f>+IF(D162=0.333,E162*F162*G162*J162,0)</f>
        <v>0</v>
      </c>
      <c r="M162" s="99">
        <v>4</v>
      </c>
      <c r="N162" s="100">
        <f>+IF(D162=0.667,E162*F162*G162*H162*M162,0)</f>
        <v>153.986477428</v>
      </c>
      <c r="O162" s="100">
        <f>+IF(D162=0.333,E162*F162*G162*M162,0)</f>
        <v>0</v>
      </c>
      <c r="P162" s="81">
        <f>11.833-I162-M162-J162</f>
        <v>2.8330000000000002</v>
      </c>
      <c r="Q162" s="100">
        <f>+IF(D162=0.667,E162*F162*G162*H162*P162,0)</f>
        <v>109.060922638381</v>
      </c>
      <c r="R162" s="100">
        <f>+IF(D162=0.333,E162*F162*G162*P162,0)</f>
        <v>0</v>
      </c>
      <c r="S162" s="101">
        <f t="shared" ref="S162" si="549">+Q162+N162+K162</f>
        <v>378.537258137381</v>
      </c>
      <c r="T162" s="101">
        <f t="shared" ref="T162" si="550">+R162+O162+L162</f>
        <v>0</v>
      </c>
      <c r="U162" s="92"/>
      <c r="V162" s="91"/>
      <c r="W162" s="102"/>
      <c r="X162" s="98"/>
      <c r="Y162" s="102"/>
      <c r="Z162" s="98"/>
      <c r="AA162" s="98"/>
      <c r="AB162" s="98"/>
      <c r="AC162" s="91"/>
      <c r="AD162" s="98"/>
      <c r="AE162" s="98"/>
      <c r="AF162" s="98"/>
      <c r="AG162" s="91"/>
      <c r="AH162" s="692">
        <v>1</v>
      </c>
      <c r="AI162" s="299">
        <f>+AH162*G162*D162*0.17</f>
        <v>6.5444252906900005</v>
      </c>
      <c r="AK162" s="301">
        <f t="shared" ref="AK162" si="551">+IF(D162=0.667,E162*F162*G162,0)</f>
        <v>57.716070999999992</v>
      </c>
      <c r="AL162" s="301">
        <f t="shared" ref="AL162" si="552">+IF(D162=0.333,E162*F162*G162,0)</f>
        <v>0</v>
      </c>
      <c r="AM162" s="301"/>
      <c r="AN162" s="301">
        <f>+IF(D162=0.333,1.33,0)</f>
        <v>0</v>
      </c>
      <c r="AO162" s="299"/>
      <c r="AP162" s="301"/>
      <c r="AQ162" s="301"/>
    </row>
    <row r="163" spans="2:43" ht="20.100000000000001" customHeight="1" x14ac:dyDescent="0.3">
      <c r="B163" s="369"/>
      <c r="C163" s="395"/>
      <c r="D163" s="371"/>
      <c r="E163" s="369"/>
      <c r="F163" s="369"/>
      <c r="G163" s="371"/>
      <c r="H163" s="371"/>
      <c r="I163" s="372"/>
      <c r="J163" s="371"/>
      <c r="K163" s="371"/>
      <c r="L163" s="371"/>
      <c r="M163" s="371"/>
      <c r="N163" s="371"/>
      <c r="O163" s="371"/>
      <c r="P163" s="371"/>
      <c r="Q163" s="371"/>
      <c r="R163" s="371"/>
      <c r="S163" s="371"/>
      <c r="T163" s="371"/>
      <c r="U163" s="369"/>
      <c r="V163" s="370"/>
      <c r="W163" s="372"/>
      <c r="X163" s="371"/>
      <c r="Y163" s="372"/>
      <c r="Z163" s="371"/>
      <c r="AA163" s="371"/>
      <c r="AB163" s="371"/>
      <c r="AC163" s="370"/>
      <c r="AD163" s="371"/>
      <c r="AE163" s="371"/>
      <c r="AF163" s="371"/>
      <c r="AG163" s="370"/>
      <c r="AH163" s="693"/>
      <c r="AI163" s="372"/>
      <c r="AK163" s="377"/>
      <c r="AL163" s="377"/>
      <c r="AM163" s="377"/>
      <c r="AN163" s="377"/>
      <c r="AO163" s="372"/>
      <c r="AP163" s="377"/>
      <c r="AQ163" s="377"/>
    </row>
    <row r="164" spans="2:43" ht="20.100000000000001" customHeight="1" x14ac:dyDescent="0.3">
      <c r="B164" s="92">
        <v>1</v>
      </c>
      <c r="C164" s="93" t="s">
        <v>356</v>
      </c>
      <c r="D164" s="92"/>
      <c r="E164" s="92"/>
      <c r="F164" s="92"/>
      <c r="G164" s="92"/>
      <c r="H164" s="92"/>
      <c r="I164" s="94"/>
      <c r="J164" s="92"/>
      <c r="K164" s="92"/>
      <c r="L164" s="92"/>
      <c r="M164" s="92"/>
      <c r="N164" s="92"/>
      <c r="O164" s="92"/>
      <c r="P164" s="92"/>
      <c r="Q164" s="92"/>
      <c r="R164" s="92"/>
      <c r="S164" s="92"/>
      <c r="T164" s="92"/>
      <c r="U164" s="92"/>
      <c r="V164" s="95"/>
      <c r="W164" s="92"/>
      <c r="X164" s="92"/>
      <c r="Y164" s="92"/>
      <c r="Z164" s="92"/>
      <c r="AA164" s="92"/>
      <c r="AB164" s="92"/>
      <c r="AC164" s="95"/>
      <c r="AD164" s="92"/>
      <c r="AE164" s="92"/>
      <c r="AF164" s="92"/>
      <c r="AG164" s="95"/>
      <c r="AH164" s="460"/>
      <c r="AI164" s="301"/>
      <c r="AK164" s="301"/>
      <c r="AL164" s="301"/>
      <c r="AM164" s="301"/>
      <c r="AN164" s="301"/>
      <c r="AO164" s="299"/>
      <c r="AP164" s="301"/>
      <c r="AQ164" s="301"/>
    </row>
    <row r="165" spans="2:43" ht="20.100000000000001" customHeight="1" x14ac:dyDescent="0.3">
      <c r="B165" s="369"/>
      <c r="C165" s="97" t="s">
        <v>357</v>
      </c>
      <c r="D165" s="371"/>
      <c r="E165" s="369"/>
      <c r="F165" s="369"/>
      <c r="G165" s="371"/>
      <c r="H165" s="371"/>
      <c r="I165" s="372"/>
      <c r="J165" s="371"/>
      <c r="K165" s="371"/>
      <c r="L165" s="371"/>
      <c r="M165" s="371"/>
      <c r="N165" s="371"/>
      <c r="O165" s="371"/>
      <c r="P165" s="371"/>
      <c r="Q165" s="371"/>
      <c r="R165" s="371"/>
      <c r="S165" s="371"/>
      <c r="T165" s="371"/>
      <c r="U165" s="369"/>
      <c r="V165" s="370"/>
      <c r="W165" s="372"/>
      <c r="X165" s="371"/>
      <c r="Y165" s="372"/>
      <c r="Z165" s="371"/>
      <c r="AA165" s="371"/>
      <c r="AB165" s="371"/>
      <c r="AC165" s="370"/>
      <c r="AD165" s="371"/>
      <c r="AE165" s="371"/>
      <c r="AF165" s="371"/>
      <c r="AG165" s="370"/>
      <c r="AH165" s="693"/>
      <c r="AI165" s="372"/>
      <c r="AK165" s="377"/>
      <c r="AL165" s="377"/>
      <c r="AM165" s="377"/>
      <c r="AN165" s="377"/>
      <c r="AO165" s="372"/>
      <c r="AP165" s="377"/>
      <c r="AQ165" s="377"/>
    </row>
    <row r="166" spans="2:43" ht="20.100000000000001" customHeight="1" x14ac:dyDescent="0.3">
      <c r="B166" s="92"/>
      <c r="C166" s="95" t="s">
        <v>33</v>
      </c>
      <c r="D166" s="98">
        <v>0.66700000000000004</v>
      </c>
      <c r="E166" s="92">
        <v>1</v>
      </c>
      <c r="F166" s="92">
        <v>1</v>
      </c>
      <c r="G166" s="671">
        <f>(7.387+0.347+7.867)*3.281</f>
        <v>51.186881</v>
      </c>
      <c r="H166" s="98">
        <f>+D166</f>
        <v>0.66700000000000004</v>
      </c>
      <c r="I166" s="94">
        <v>2</v>
      </c>
      <c r="J166" s="99">
        <v>3</v>
      </c>
      <c r="K166" s="100">
        <f>+IF(D166=0.667,E166*F166*G166*H166*J166,0)</f>
        <v>102.42494888100001</v>
      </c>
      <c r="L166" s="100">
        <f>+IF(D166=0.333,E166*F166*G166*J166,0)</f>
        <v>0</v>
      </c>
      <c r="M166" s="99">
        <v>4</v>
      </c>
      <c r="N166" s="100">
        <f>+IF(D166=0.667,E166*F166*G166*H166*M166,0)</f>
        <v>136.566598508</v>
      </c>
      <c r="O166" s="100">
        <f>+IF(D166=0.333,E166*F166*G166*M166,0)</f>
        <v>0</v>
      </c>
      <c r="P166" s="81">
        <f>11.833-I166-M166-J166</f>
        <v>2.8330000000000002</v>
      </c>
      <c r="Q166" s="100">
        <f>+IF(D166=0.667,E166*F166*G166*H166*P166,0)</f>
        <v>96.723293393291002</v>
      </c>
      <c r="R166" s="100">
        <f>+IF(D166=0.333,E166*F166*G166*P166,0)</f>
        <v>0</v>
      </c>
      <c r="S166" s="101">
        <f t="shared" ref="S166:S167" si="553">+Q166+N166+K166</f>
        <v>335.71484078229105</v>
      </c>
      <c r="T166" s="101">
        <f t="shared" ref="T166:T167" si="554">+R166+O166+L166</f>
        <v>0</v>
      </c>
      <c r="U166" s="92"/>
      <c r="V166" s="91"/>
      <c r="W166" s="102"/>
      <c r="X166" s="98"/>
      <c r="Y166" s="102"/>
      <c r="Z166" s="98"/>
      <c r="AA166" s="98"/>
      <c r="AB166" s="98"/>
      <c r="AC166" s="91"/>
      <c r="AD166" s="98"/>
      <c r="AE166" s="98"/>
      <c r="AF166" s="98"/>
      <c r="AG166" s="91"/>
      <c r="AH166" s="692">
        <v>1</v>
      </c>
      <c r="AI166" s="299">
        <f>+AH166*G166*D166*0.17</f>
        <v>5.8040804365900005</v>
      </c>
      <c r="AK166" s="301">
        <f t="shared" ref="AK166" si="555">+IF(D166=0.667,E166*F166*G166,0)</f>
        <v>51.186881</v>
      </c>
      <c r="AL166" s="301">
        <f t="shared" ref="AL166:AL167" si="556">+IF(D166=0.333,E166*F166*G166,0)</f>
        <v>0</v>
      </c>
      <c r="AM166" s="301"/>
      <c r="AN166" s="301">
        <f>+IF(D166=0.333,1.33,0)</f>
        <v>0</v>
      </c>
      <c r="AO166" s="299"/>
      <c r="AP166" s="301"/>
      <c r="AQ166" s="301"/>
    </row>
    <row r="167" spans="2:43" ht="20.100000000000001" customHeight="1" x14ac:dyDescent="0.3">
      <c r="B167" s="92"/>
      <c r="C167" s="95" t="s">
        <v>347</v>
      </c>
      <c r="D167" s="98">
        <v>0.66700000000000004</v>
      </c>
      <c r="E167" s="92">
        <v>-1</v>
      </c>
      <c r="F167" s="92">
        <v>4</v>
      </c>
      <c r="G167" s="98">
        <v>6</v>
      </c>
      <c r="H167" s="98">
        <f t="shared" ref="H167" si="557">+D167</f>
        <v>0.66700000000000004</v>
      </c>
      <c r="I167" s="94"/>
      <c r="J167" s="99"/>
      <c r="K167" s="100">
        <f t="shared" ref="K167" si="558">+IF(D167=0.667,E167*F167*G167*H167*J167,0)</f>
        <v>0</v>
      </c>
      <c r="L167" s="100">
        <f t="shared" ref="L167" si="559">+IF(D167=0.333,E167*F167*G167*J167,0)</f>
        <v>0</v>
      </c>
      <c r="M167" s="99">
        <v>4</v>
      </c>
      <c r="N167" s="100">
        <f t="shared" ref="N167" si="560">+IF(D167=0.667,E167*F167*G167*H167*M167,0)</f>
        <v>-64.032000000000011</v>
      </c>
      <c r="O167" s="100">
        <f t="shared" ref="O167" si="561">+IF(D167=0.333,E167*F167*G167*M167,0)</f>
        <v>0</v>
      </c>
      <c r="P167" s="81">
        <v>0</v>
      </c>
      <c r="Q167" s="100">
        <f t="shared" ref="Q167" si="562">+IF(D167=0.667,E167*F167*G167*H167*P167,0)</f>
        <v>0</v>
      </c>
      <c r="R167" s="100">
        <f t="shared" ref="R167" si="563">+IF(D167=0.333,E167*F167*G167*P167,0)</f>
        <v>0</v>
      </c>
      <c r="S167" s="101">
        <f t="shared" si="553"/>
        <v>-64.032000000000011</v>
      </c>
      <c r="T167" s="101">
        <f t="shared" si="554"/>
        <v>0</v>
      </c>
      <c r="U167" s="92"/>
      <c r="V167" s="91"/>
      <c r="W167" s="454">
        <f>+G167+D167</f>
        <v>6.6669999999999998</v>
      </c>
      <c r="X167" s="690">
        <v>0.5</v>
      </c>
      <c r="Y167" s="454">
        <f>+IF(D167=0.667,-E167*F167*H167*W167*X167,0)</f>
        <v>8.8937780000000011</v>
      </c>
      <c r="Z167" s="690">
        <f>+IF(D167=0.333,-E167*F167*H167*W167*X167,0)</f>
        <v>0</v>
      </c>
      <c r="AA167" s="690">
        <f>+F167*G167*H167</f>
        <v>16.008000000000003</v>
      </c>
      <c r="AB167" s="690">
        <f t="shared" ref="AB167" si="564">2*F167*W167*X167</f>
        <v>26.667999999999999</v>
      </c>
      <c r="AC167" s="91"/>
      <c r="AD167" s="98">
        <v>0.16700000000000001</v>
      </c>
      <c r="AE167" s="98">
        <f t="shared" ref="AE167" si="565">+IF(D167=0.667,AD167*W167*H167*F167,0)</f>
        <v>2.9705218520000001</v>
      </c>
      <c r="AF167" s="98">
        <f t="shared" ref="AF167" si="566">+IF(D167=0.333,AD167*W167*H167*F167,0)</f>
        <v>0</v>
      </c>
      <c r="AG167" s="91"/>
      <c r="AH167" s="692"/>
      <c r="AI167" s="299">
        <f t="shared" ref="AI167" si="567">+AH167*G167*D167*0.17</f>
        <v>0</v>
      </c>
      <c r="AK167" s="301"/>
      <c r="AL167" s="301">
        <f t="shared" si="556"/>
        <v>0</v>
      </c>
      <c r="AM167" s="301"/>
      <c r="AN167" s="301"/>
      <c r="AO167" s="299"/>
      <c r="AP167" s="301"/>
      <c r="AQ167" s="301"/>
    </row>
    <row r="168" spans="2:43" ht="20.100000000000001" customHeight="1" x14ac:dyDescent="0.3">
      <c r="B168" s="92"/>
      <c r="C168" s="95" t="s">
        <v>31</v>
      </c>
      <c r="D168" s="98">
        <v>0.66700000000000004</v>
      </c>
      <c r="E168" s="415">
        <f>1*0</f>
        <v>0</v>
      </c>
      <c r="F168" s="415">
        <f>1*0</f>
        <v>0</v>
      </c>
      <c r="G168" s="98">
        <f>(6.748+3.585)*3.281</f>
        <v>33.902573000000004</v>
      </c>
      <c r="H168" s="98">
        <f>+D168</f>
        <v>0.66700000000000004</v>
      </c>
      <c r="I168" s="94">
        <v>2</v>
      </c>
      <c r="J168" s="99">
        <v>3</v>
      </c>
      <c r="K168" s="100">
        <f>+IF(D168=0.667,E168*F168*G168*H168*J168,0)</f>
        <v>0</v>
      </c>
      <c r="L168" s="100">
        <f>+IF(D168=0.333,E168*F168*G168*J168,0)</f>
        <v>0</v>
      </c>
      <c r="M168" s="99">
        <v>4</v>
      </c>
      <c r="N168" s="100">
        <f>+IF(D168=0.667,E168*F168*G168*H168*M168,0)</f>
        <v>0</v>
      </c>
      <c r="O168" s="100">
        <f>+IF(D168=0.333,E168*F168*G168*M168,0)</f>
        <v>0</v>
      </c>
      <c r="P168" s="81">
        <f t="shared" ref="P168:P169" si="568">11.833-I168-M168-J168</f>
        <v>2.8330000000000002</v>
      </c>
      <c r="Q168" s="100">
        <f>+IF(D168=0.667,E168*F168*G168*H168*P168,0)</f>
        <v>0</v>
      </c>
      <c r="R168" s="100">
        <f>+IF(D168=0.333,E168*F168*G168*P168,0)</f>
        <v>0</v>
      </c>
      <c r="S168" s="555"/>
      <c r="T168" s="101">
        <f t="shared" ref="T168" si="569">+R168+O168+L168</f>
        <v>0</v>
      </c>
      <c r="U168" s="92"/>
      <c r="V168" s="91"/>
      <c r="W168" s="102"/>
      <c r="X168" s="98"/>
      <c r="Y168" s="102"/>
      <c r="Z168" s="98"/>
      <c r="AA168" s="98"/>
      <c r="AB168" s="98"/>
      <c r="AC168" s="91"/>
      <c r="AD168" s="98"/>
      <c r="AE168" s="98"/>
      <c r="AF168" s="98"/>
      <c r="AG168" s="91"/>
      <c r="AH168" s="415">
        <f>1*0</f>
        <v>0</v>
      </c>
      <c r="AI168" s="299">
        <f>+AH168*G168*D168*0.17</f>
        <v>0</v>
      </c>
      <c r="AK168" s="301">
        <f t="shared" ref="AK168" si="570">+IF(D168=0.667,E168*F168*G168,0)</f>
        <v>0</v>
      </c>
      <c r="AL168" s="301">
        <f t="shared" ref="AL168" si="571">+IF(D168=0.333,E168*F168*G168,0)</f>
        <v>0</v>
      </c>
      <c r="AM168" s="301"/>
      <c r="AN168" s="301">
        <f>+IF(D168=0.333,1.33,0)</f>
        <v>0</v>
      </c>
      <c r="AO168" s="299"/>
      <c r="AP168" s="301"/>
      <c r="AQ168" s="301"/>
    </row>
    <row r="169" spans="2:43" ht="20.100000000000001" customHeight="1" x14ac:dyDescent="0.3">
      <c r="B169" s="92"/>
      <c r="C169" s="95" t="s">
        <v>32</v>
      </c>
      <c r="D169" s="98">
        <v>0.66700000000000004</v>
      </c>
      <c r="E169" s="415">
        <f>1*0</f>
        <v>0</v>
      </c>
      <c r="F169" s="415">
        <f>1*0</f>
        <v>0</v>
      </c>
      <c r="G169" s="98">
        <f>(6.992+7.764)*3.281</f>
        <v>48.414436000000002</v>
      </c>
      <c r="H169" s="98">
        <f>+D169</f>
        <v>0.66700000000000004</v>
      </c>
      <c r="I169" s="94">
        <v>2</v>
      </c>
      <c r="J169" s="99">
        <v>3</v>
      </c>
      <c r="K169" s="100">
        <f>+IF(D169=0.667,E169*F169*G169*H169*J169,0)</f>
        <v>0</v>
      </c>
      <c r="L169" s="100">
        <f>+IF(D169=0.333,E169*F169*G169*J169,0)</f>
        <v>0</v>
      </c>
      <c r="M169" s="99">
        <v>4</v>
      </c>
      <c r="N169" s="100">
        <f>+IF(D169=0.667,E169*F169*G169*H169*M169,0)</f>
        <v>0</v>
      </c>
      <c r="O169" s="100">
        <f>+IF(D169=0.333,E169*F169*G169*M169,0)</f>
        <v>0</v>
      </c>
      <c r="P169" s="81">
        <f t="shared" si="568"/>
        <v>2.8330000000000002</v>
      </c>
      <c r="Q169" s="100">
        <f>+IF(D169=0.667,E169*F169*G169*H169*P169,0)</f>
        <v>0</v>
      </c>
      <c r="R169" s="100">
        <f>+IF(D169=0.333,E169*F169*G169*P169,0)</f>
        <v>0</v>
      </c>
      <c r="S169" s="555"/>
      <c r="T169" s="101">
        <f t="shared" ref="T169:T171" si="572">+R169+O169+L169</f>
        <v>0</v>
      </c>
      <c r="U169" s="92"/>
      <c r="V169" s="91"/>
      <c r="W169" s="102"/>
      <c r="X169" s="98"/>
      <c r="Y169" s="102"/>
      <c r="Z169" s="98"/>
      <c r="AA169" s="98"/>
      <c r="AB169" s="98"/>
      <c r="AC169" s="91"/>
      <c r="AD169" s="98"/>
      <c r="AE169" s="98"/>
      <c r="AF169" s="98"/>
      <c r="AG169" s="91"/>
      <c r="AH169" s="415">
        <f>1*0</f>
        <v>0</v>
      </c>
      <c r="AI169" s="299">
        <f>+AH169*G169*D169*0.17</f>
        <v>0</v>
      </c>
      <c r="AK169" s="301">
        <f t="shared" ref="AK169:AK171" si="573">+IF(D169=0.667,E169*F169*G169,0)</f>
        <v>0</v>
      </c>
      <c r="AL169" s="301">
        <f t="shared" ref="AL169:AL171" si="574">+IF(D169=0.333,E169*F169*G169,0)</f>
        <v>0</v>
      </c>
      <c r="AM169" s="301"/>
      <c r="AN169" s="301">
        <f>+IF(D169=0.333,1.33,0)</f>
        <v>0</v>
      </c>
      <c r="AO169" s="299"/>
      <c r="AP169" s="301"/>
      <c r="AQ169" s="301"/>
    </row>
    <row r="170" spans="2:43" ht="20.100000000000001" customHeight="1" x14ac:dyDescent="0.3">
      <c r="B170" s="92"/>
      <c r="C170" s="95" t="s">
        <v>335</v>
      </c>
      <c r="D170" s="98">
        <v>0.66700000000000004</v>
      </c>
      <c r="E170" s="415">
        <f>-1*0</f>
        <v>0</v>
      </c>
      <c r="F170" s="415">
        <f>1*0</f>
        <v>0</v>
      </c>
      <c r="G170" s="98">
        <f>4+4</f>
        <v>8</v>
      </c>
      <c r="H170" s="98">
        <f>+D170</f>
        <v>0.66700000000000004</v>
      </c>
      <c r="I170" s="102"/>
      <c r="J170" s="99">
        <v>3</v>
      </c>
      <c r="K170" s="100">
        <f>+IF(D170=0.667,E170*F170*G170*H170*J170,0)</f>
        <v>0</v>
      </c>
      <c r="L170" s="100">
        <f>+IF(D170=0.333,E170*F170*G170*J170,0)</f>
        <v>0</v>
      </c>
      <c r="M170" s="99">
        <v>4</v>
      </c>
      <c r="N170" s="100">
        <f>+IF(D170=0.667,E170*F170*G170*H170*M170,0)</f>
        <v>0</v>
      </c>
      <c r="O170" s="100">
        <f>+IF(D170=0.333,E170*F170*G170*M170,0)</f>
        <v>0</v>
      </c>
      <c r="P170" s="99">
        <v>1</v>
      </c>
      <c r="Q170" s="100">
        <f>+IF(D170=0.667,E170*F170*G170*H170*P170,0)</f>
        <v>0</v>
      </c>
      <c r="R170" s="100">
        <f>+IF(D170=0.333,E170*F170*G170*P170,0)</f>
        <v>0</v>
      </c>
      <c r="S170" s="555"/>
      <c r="T170" s="101">
        <f t="shared" si="572"/>
        <v>0</v>
      </c>
      <c r="U170" s="92"/>
      <c r="V170" s="91"/>
      <c r="W170" s="98">
        <f>+G170+D170*2</f>
        <v>9.3339999999999996</v>
      </c>
      <c r="X170" s="98">
        <v>0.5</v>
      </c>
      <c r="Y170" s="98">
        <f>+IF(D170=0.667,-E170*F170*H170*W170*X170,0)</f>
        <v>0</v>
      </c>
      <c r="Z170" s="98">
        <f>+IF(D170=0.333,-E170*F170*H170*W170*X170,0)</f>
        <v>0</v>
      </c>
      <c r="AA170" s="98">
        <f>+F170*G170*H170</f>
        <v>0</v>
      </c>
      <c r="AB170" s="98">
        <f t="shared" ref="AB170" si="575">2*F170*W170*X170</f>
        <v>0</v>
      </c>
      <c r="AC170" s="91"/>
      <c r="AD170" s="98"/>
      <c r="AE170" s="98">
        <f>+IF(D170=0.667,AD170*W170*H170*F170,0)</f>
        <v>0</v>
      </c>
      <c r="AF170" s="98">
        <f>+IF(D170=0.333,AD170*W170*H170*F170,0)</f>
        <v>0</v>
      </c>
      <c r="AG170" s="91"/>
      <c r="AH170" s="460"/>
      <c r="AI170" s="299">
        <f>+AH170*G170*D170*0.17</f>
        <v>0</v>
      </c>
      <c r="AK170" s="301">
        <f t="shared" si="573"/>
        <v>0</v>
      </c>
      <c r="AL170" s="301">
        <f t="shared" si="574"/>
        <v>0</v>
      </c>
      <c r="AM170" s="301">
        <f>+IF(D170=0.667,1.33,0)*0</f>
        <v>0</v>
      </c>
      <c r="AN170" s="301"/>
      <c r="AO170" s="299"/>
      <c r="AP170" s="301"/>
      <c r="AQ170" s="301"/>
    </row>
    <row r="171" spans="2:43" ht="20.100000000000001" customHeight="1" x14ac:dyDescent="0.3">
      <c r="B171" s="92"/>
      <c r="C171" s="95" t="s">
        <v>38</v>
      </c>
      <c r="D171" s="98">
        <v>0.66700000000000004</v>
      </c>
      <c r="E171" s="415">
        <f>1*0</f>
        <v>0</v>
      </c>
      <c r="F171" s="415">
        <f>1*0</f>
        <v>0</v>
      </c>
      <c r="G171" s="98">
        <f>(3.587+5.224)*3.281</f>
        <v>28.908891000000001</v>
      </c>
      <c r="H171" s="98">
        <f>+D171</f>
        <v>0.66700000000000004</v>
      </c>
      <c r="I171" s="94">
        <v>2</v>
      </c>
      <c r="J171" s="99">
        <v>3</v>
      </c>
      <c r="K171" s="100">
        <f>+IF(D171=0.667,E171*F171*G171*H171*J171,0)</f>
        <v>0</v>
      </c>
      <c r="L171" s="100">
        <f>+IF(D171=0.333,E171*F171*G171*J171,0)</f>
        <v>0</v>
      </c>
      <c r="M171" s="99">
        <v>4</v>
      </c>
      <c r="N171" s="100">
        <f>+IF(D171=0.667,E171*F171*G171*H171*M171,0)</f>
        <v>0</v>
      </c>
      <c r="O171" s="100">
        <f>+IF(D171=0.333,E171*F171*G171*M171,0)</f>
        <v>0</v>
      </c>
      <c r="P171" s="81">
        <f>11.833-I171-M171-J171</f>
        <v>2.8330000000000002</v>
      </c>
      <c r="Q171" s="100">
        <f>+IF(D171=0.667,E171*F171*G171*H171*P171,0)</f>
        <v>0</v>
      </c>
      <c r="R171" s="100">
        <f>+IF(D171=0.333,E171*F171*G171*P171,0)</f>
        <v>0</v>
      </c>
      <c r="S171" s="555"/>
      <c r="T171" s="101">
        <f t="shared" si="572"/>
        <v>0</v>
      </c>
      <c r="U171" s="92"/>
      <c r="V171" s="91"/>
      <c r="W171" s="102"/>
      <c r="X171" s="98"/>
      <c r="Y171" s="102"/>
      <c r="Z171" s="98"/>
      <c r="AA171" s="98"/>
      <c r="AB171" s="98"/>
      <c r="AC171" s="91"/>
      <c r="AD171" s="98"/>
      <c r="AE171" s="98"/>
      <c r="AF171" s="98"/>
      <c r="AG171" s="91"/>
      <c r="AH171" s="415">
        <f>1*0</f>
        <v>0</v>
      </c>
      <c r="AI171" s="299">
        <f>+AH171*G171*D171*0.17</f>
        <v>0</v>
      </c>
      <c r="AK171" s="301">
        <f t="shared" si="573"/>
        <v>0</v>
      </c>
      <c r="AL171" s="301">
        <f t="shared" si="574"/>
        <v>0</v>
      </c>
      <c r="AM171" s="301"/>
      <c r="AN171" s="301">
        <f>+IF(D171=0.333,1.33,0)</f>
        <v>0</v>
      </c>
      <c r="AO171" s="299"/>
      <c r="AP171" s="301"/>
      <c r="AQ171" s="301"/>
    </row>
    <row r="172" spans="2:43" ht="20.100000000000001" customHeight="1" x14ac:dyDescent="0.3">
      <c r="B172" s="369"/>
      <c r="C172" s="395"/>
      <c r="D172" s="371"/>
      <c r="E172" s="369"/>
      <c r="F172" s="369"/>
      <c r="G172" s="371"/>
      <c r="H172" s="371"/>
      <c r="I172" s="372"/>
      <c r="J172" s="371"/>
      <c r="K172" s="371"/>
      <c r="L172" s="371"/>
      <c r="M172" s="371"/>
      <c r="N172" s="371"/>
      <c r="O172" s="371"/>
      <c r="P172" s="371"/>
      <c r="Q172" s="371"/>
      <c r="R172" s="371"/>
      <c r="S172" s="371"/>
      <c r="T172" s="371"/>
      <c r="U172" s="369"/>
      <c r="V172" s="370"/>
      <c r="W172" s="372"/>
      <c r="X172" s="371"/>
      <c r="Y172" s="372"/>
      <c r="Z172" s="371"/>
      <c r="AA172" s="371"/>
      <c r="AB172" s="371"/>
      <c r="AC172" s="370"/>
      <c r="AD172" s="371"/>
      <c r="AE172" s="371"/>
      <c r="AF172" s="371"/>
      <c r="AG172" s="370"/>
      <c r="AH172" s="693"/>
      <c r="AI172" s="372"/>
      <c r="AK172" s="377"/>
      <c r="AL172" s="377"/>
      <c r="AM172" s="377"/>
      <c r="AN172" s="377"/>
      <c r="AO172" s="372"/>
      <c r="AP172" s="377"/>
      <c r="AQ172" s="377"/>
    </row>
    <row r="173" spans="2:43" ht="20.100000000000001" customHeight="1" x14ac:dyDescent="0.3">
      <c r="B173" s="369"/>
      <c r="C173" s="97" t="s">
        <v>360</v>
      </c>
      <c r="D173" s="371"/>
      <c r="E173" s="369"/>
      <c r="F173" s="369"/>
      <c r="G173" s="371"/>
      <c r="H173" s="371"/>
      <c r="I173" s="372"/>
      <c r="J173" s="371"/>
      <c r="K173" s="371"/>
      <c r="L173" s="371"/>
      <c r="M173" s="371"/>
      <c r="N173" s="371"/>
      <c r="O173" s="371"/>
      <c r="P173" s="371"/>
      <c r="Q173" s="371"/>
      <c r="R173" s="371"/>
      <c r="S173" s="371"/>
      <c r="T173" s="371"/>
      <c r="U173" s="369"/>
      <c r="V173" s="370"/>
      <c r="W173" s="372"/>
      <c r="X173" s="371"/>
      <c r="Y173" s="372"/>
      <c r="Z173" s="371"/>
      <c r="AA173" s="371"/>
      <c r="AB173" s="371"/>
      <c r="AC173" s="370"/>
      <c r="AD173" s="371"/>
      <c r="AE173" s="371"/>
      <c r="AF173" s="371"/>
      <c r="AG173" s="370"/>
      <c r="AH173" s="693"/>
      <c r="AI173" s="372"/>
      <c r="AK173" s="377"/>
      <c r="AL173" s="377"/>
      <c r="AM173" s="377"/>
      <c r="AN173" s="377"/>
      <c r="AO173" s="372"/>
      <c r="AP173" s="377"/>
      <c r="AQ173" s="377"/>
    </row>
    <row r="174" spans="2:43" ht="20.100000000000001" customHeight="1" x14ac:dyDescent="0.3">
      <c r="B174" s="92"/>
      <c r="C174" s="95" t="s">
        <v>33</v>
      </c>
      <c r="D174" s="98">
        <v>0.66700000000000004</v>
      </c>
      <c r="E174" s="92">
        <v>1</v>
      </c>
      <c r="F174" s="92">
        <v>1</v>
      </c>
      <c r="G174" s="671">
        <f>(7.634+7.772)*3.281</f>
        <v>50.547086000000007</v>
      </c>
      <c r="H174" s="98">
        <f>+D174</f>
        <v>0.66700000000000004</v>
      </c>
      <c r="I174" s="94">
        <v>2</v>
      </c>
      <c r="J174" s="99">
        <v>3</v>
      </c>
      <c r="K174" s="100">
        <f>+IF(D174=0.667,E174*F174*G174*H174*J174,0)</f>
        <v>101.14471908600002</v>
      </c>
      <c r="L174" s="100">
        <f>+IF(D174=0.333,E174*F174*G174*J174,0)</f>
        <v>0</v>
      </c>
      <c r="M174" s="99">
        <v>4</v>
      </c>
      <c r="N174" s="100">
        <f>+IF(D174=0.667,E174*F174*G174*H174*M174,0)</f>
        <v>134.85962544800003</v>
      </c>
      <c r="O174" s="100">
        <f>+IF(D174=0.333,E174*F174*G174*M174,0)</f>
        <v>0</v>
      </c>
      <c r="P174" s="81">
        <f>11.833-I174-M174-J174</f>
        <v>2.8330000000000002</v>
      </c>
      <c r="Q174" s="100">
        <f>+IF(D174=0.667,E174*F174*G174*H174*P174,0)</f>
        <v>95.514329723546027</v>
      </c>
      <c r="R174" s="100">
        <f>+IF(D174=0.333,E174*F174*G174*P174,0)</f>
        <v>0</v>
      </c>
      <c r="S174" s="101">
        <f t="shared" ref="S174:S175" si="576">+Q174+N174+K174</f>
        <v>331.51867425754608</v>
      </c>
      <c r="T174" s="101">
        <f t="shared" ref="T174:T178" si="577">+R174+O174+L174</f>
        <v>0</v>
      </c>
      <c r="U174" s="92"/>
      <c r="V174" s="91"/>
      <c r="W174" s="102"/>
      <c r="X174" s="98"/>
      <c r="Y174" s="102"/>
      <c r="Z174" s="98"/>
      <c r="AA174" s="98"/>
      <c r="AB174" s="98"/>
      <c r="AC174" s="91"/>
      <c r="AD174" s="98"/>
      <c r="AE174" s="98"/>
      <c r="AF174" s="98"/>
      <c r="AG174" s="91"/>
      <c r="AH174" s="692">
        <v>1</v>
      </c>
      <c r="AI174" s="299">
        <f>+AH174*G174*D174*0.17</f>
        <v>5.7315340815400013</v>
      </c>
      <c r="AK174" s="301">
        <f t="shared" ref="AK174" si="578">+IF(D174=0.667,E174*F174*G174,0)</f>
        <v>50.547086000000007</v>
      </c>
      <c r="AL174" s="301">
        <f t="shared" ref="AL174:AL178" si="579">+IF(D174=0.333,E174*F174*G174,0)</f>
        <v>0</v>
      </c>
      <c r="AM174" s="301"/>
      <c r="AN174" s="301">
        <f>+IF(D174=0.333,1.33,0)</f>
        <v>0</v>
      </c>
      <c r="AO174" s="299"/>
      <c r="AP174" s="301"/>
      <c r="AQ174" s="301"/>
    </row>
    <row r="175" spans="2:43" ht="20.100000000000001" customHeight="1" x14ac:dyDescent="0.3">
      <c r="B175" s="92"/>
      <c r="C175" s="95" t="s">
        <v>347</v>
      </c>
      <c r="D175" s="98">
        <v>0.66700000000000004</v>
      </c>
      <c r="E175" s="92">
        <v>-1</v>
      </c>
      <c r="F175" s="92">
        <v>4</v>
      </c>
      <c r="G175" s="671">
        <v>6</v>
      </c>
      <c r="H175" s="98">
        <f t="shared" ref="H175" si="580">+D175</f>
        <v>0.66700000000000004</v>
      </c>
      <c r="I175" s="94"/>
      <c r="J175" s="99"/>
      <c r="K175" s="100">
        <f t="shared" ref="K175" si="581">+IF(D175=0.667,E175*F175*G175*H175*J175,0)</f>
        <v>0</v>
      </c>
      <c r="L175" s="100">
        <f t="shared" ref="L175" si="582">+IF(D175=0.333,E175*F175*G175*J175,0)</f>
        <v>0</v>
      </c>
      <c r="M175" s="99">
        <v>4</v>
      </c>
      <c r="N175" s="100">
        <f t="shared" ref="N175" si="583">+IF(D175=0.667,E175*F175*G175*H175*M175,0)</f>
        <v>-64.032000000000011</v>
      </c>
      <c r="O175" s="100">
        <f t="shared" ref="O175" si="584">+IF(D175=0.333,E175*F175*G175*M175,0)</f>
        <v>0</v>
      </c>
      <c r="P175" s="81">
        <v>0</v>
      </c>
      <c r="Q175" s="100">
        <f t="shared" ref="Q175" si="585">+IF(D175=0.667,E175*F175*G175*H175*P175,0)</f>
        <v>0</v>
      </c>
      <c r="R175" s="100">
        <f t="shared" ref="R175" si="586">+IF(D175=0.333,E175*F175*G175*P175,0)</f>
        <v>0</v>
      </c>
      <c r="S175" s="101">
        <f t="shared" si="576"/>
        <v>-64.032000000000011</v>
      </c>
      <c r="T175" s="101">
        <f t="shared" si="577"/>
        <v>0</v>
      </c>
      <c r="U175" s="92"/>
      <c r="V175" s="91"/>
      <c r="W175" s="454">
        <f>+G175+D175</f>
        <v>6.6669999999999998</v>
      </c>
      <c r="X175" s="690">
        <v>0.5</v>
      </c>
      <c r="Y175" s="454">
        <f>+IF(D175=0.667,-E175*F175*H175*W175*X175,0)</f>
        <v>8.8937780000000011</v>
      </c>
      <c r="Z175" s="690">
        <f>+IF(D175=0.333,-E175*F175*H175*W175*X175,0)</f>
        <v>0</v>
      </c>
      <c r="AA175" s="690">
        <f>+F175*G175*H175</f>
        <v>16.008000000000003</v>
      </c>
      <c r="AB175" s="690">
        <f t="shared" ref="AB175" si="587">2*F175*W175*X175</f>
        <v>26.667999999999999</v>
      </c>
      <c r="AC175" s="91"/>
      <c r="AD175" s="98">
        <v>0.16700000000000001</v>
      </c>
      <c r="AE175" s="98">
        <f t="shared" ref="AE175" si="588">+IF(D175=0.667,AD175*W175*H175*F175,0)</f>
        <v>2.9705218520000001</v>
      </c>
      <c r="AF175" s="98">
        <f t="shared" ref="AF175" si="589">+IF(D175=0.333,AD175*W175*H175*F175,0)</f>
        <v>0</v>
      </c>
      <c r="AG175" s="91"/>
      <c r="AH175" s="692"/>
      <c r="AI175" s="299">
        <f t="shared" ref="AI175" si="590">+AH175*G175*D175*0.17</f>
        <v>0</v>
      </c>
      <c r="AK175" s="301"/>
      <c r="AL175" s="301">
        <f t="shared" si="579"/>
        <v>0</v>
      </c>
      <c r="AM175" s="301"/>
      <c r="AN175" s="301"/>
      <c r="AO175" s="299"/>
      <c r="AP175" s="301"/>
      <c r="AQ175" s="301"/>
    </row>
    <row r="176" spans="2:43" ht="20.100000000000001" customHeight="1" x14ac:dyDescent="0.3">
      <c r="B176" s="92"/>
      <c r="C176" s="95" t="s">
        <v>31</v>
      </c>
      <c r="D176" s="98">
        <v>0.66700000000000004</v>
      </c>
      <c r="E176" s="415">
        <f>1*0</f>
        <v>0</v>
      </c>
      <c r="F176" s="415">
        <f>1*0</f>
        <v>0</v>
      </c>
      <c r="G176" s="98">
        <f>(6.748+3.585)*3.281</f>
        <v>33.902573000000004</v>
      </c>
      <c r="H176" s="98">
        <f>+D176</f>
        <v>0.66700000000000004</v>
      </c>
      <c r="I176" s="94">
        <v>2</v>
      </c>
      <c r="J176" s="99">
        <v>3</v>
      </c>
      <c r="K176" s="100">
        <f>+IF(D176=0.667,E176*F176*G176*H176*J176,0)</f>
        <v>0</v>
      </c>
      <c r="L176" s="100">
        <f>+IF(D176=0.333,E176*F176*G176*J176,0)</f>
        <v>0</v>
      </c>
      <c r="M176" s="99">
        <v>4</v>
      </c>
      <c r="N176" s="100">
        <f>+IF(D176=0.667,E176*F176*G176*H176*M176,0)</f>
        <v>0</v>
      </c>
      <c r="O176" s="100">
        <f>+IF(D176=0.333,E176*F176*G176*M176,0)</f>
        <v>0</v>
      </c>
      <c r="P176" s="81">
        <f t="shared" ref="P176:P177" si="591">11.833-I176-M176-J176</f>
        <v>2.8330000000000002</v>
      </c>
      <c r="Q176" s="100">
        <f>+IF(D176=0.667,E176*F176*G176*H176*P176,0)</f>
        <v>0</v>
      </c>
      <c r="R176" s="100">
        <f>+IF(D176=0.333,E176*F176*G176*P176,0)</f>
        <v>0</v>
      </c>
      <c r="S176" s="555"/>
      <c r="T176" s="101">
        <f t="shared" si="577"/>
        <v>0</v>
      </c>
      <c r="U176" s="92"/>
      <c r="V176" s="91"/>
      <c r="W176" s="102"/>
      <c r="X176" s="98"/>
      <c r="Y176" s="102"/>
      <c r="Z176" s="98"/>
      <c r="AA176" s="98"/>
      <c r="AB176" s="98"/>
      <c r="AC176" s="91"/>
      <c r="AD176" s="98"/>
      <c r="AE176" s="98"/>
      <c r="AF176" s="98"/>
      <c r="AG176" s="91"/>
      <c r="AH176" s="692">
        <v>1</v>
      </c>
      <c r="AI176" s="299">
        <f>+AH176*G176*D176*0.17</f>
        <v>3.8442127524700007</v>
      </c>
      <c r="AK176" s="301">
        <f t="shared" ref="AK176:AK178" si="592">+IF(D176=0.667,E176*F176*G176,0)</f>
        <v>0</v>
      </c>
      <c r="AL176" s="301">
        <f t="shared" si="579"/>
        <v>0</v>
      </c>
      <c r="AM176" s="301"/>
      <c r="AN176" s="301">
        <f>+IF(D176=0.333,1.33,0)</f>
        <v>0</v>
      </c>
      <c r="AO176" s="299"/>
      <c r="AP176" s="301"/>
      <c r="AQ176" s="301"/>
    </row>
    <row r="177" spans="2:43" ht="20.100000000000001" customHeight="1" x14ac:dyDescent="0.3">
      <c r="B177" s="92"/>
      <c r="C177" s="95" t="s">
        <v>32</v>
      </c>
      <c r="D177" s="98">
        <v>0.66700000000000004</v>
      </c>
      <c r="E177" s="415">
        <f>1*0</f>
        <v>0</v>
      </c>
      <c r="F177" s="415">
        <f>1*0</f>
        <v>0</v>
      </c>
      <c r="G177" s="98">
        <f>(7.631+7.652)*3.281</f>
        <v>50.143523000000009</v>
      </c>
      <c r="H177" s="98">
        <f>+D177</f>
        <v>0.66700000000000004</v>
      </c>
      <c r="I177" s="94">
        <v>2</v>
      </c>
      <c r="J177" s="99">
        <v>3</v>
      </c>
      <c r="K177" s="100">
        <f>+IF(D177=0.667,E177*F177*G177*H177*J177,0)</f>
        <v>0</v>
      </c>
      <c r="L177" s="100">
        <f>+IF(D177=0.333,E177*F177*G177*J177,0)</f>
        <v>0</v>
      </c>
      <c r="M177" s="99">
        <v>4</v>
      </c>
      <c r="N177" s="100">
        <f>+IF(D177=0.667,E177*F177*G177*H177*M177,0)</f>
        <v>0</v>
      </c>
      <c r="O177" s="100">
        <f>+IF(D177=0.333,E177*F177*G177*M177,0)</f>
        <v>0</v>
      </c>
      <c r="P177" s="81">
        <f t="shared" si="591"/>
        <v>2.8330000000000002</v>
      </c>
      <c r="Q177" s="100">
        <f>+IF(D177=0.667,E177*F177*G177*H177*P177,0)</f>
        <v>0</v>
      </c>
      <c r="R177" s="100">
        <f>+IF(D177=0.333,E177*F177*G177*P177,0)</f>
        <v>0</v>
      </c>
      <c r="S177" s="555"/>
      <c r="T177" s="101">
        <f t="shared" si="577"/>
        <v>0</v>
      </c>
      <c r="U177" s="92"/>
      <c r="V177" s="91"/>
      <c r="W177" s="102"/>
      <c r="X177" s="98"/>
      <c r="Y177" s="102"/>
      <c r="Z177" s="98"/>
      <c r="AA177" s="98"/>
      <c r="AB177" s="98"/>
      <c r="AC177" s="91"/>
      <c r="AD177" s="98"/>
      <c r="AE177" s="98"/>
      <c r="AF177" s="98"/>
      <c r="AG177" s="91"/>
      <c r="AH177" s="692">
        <v>1</v>
      </c>
      <c r="AI177" s="299">
        <f>+AH177*G177*D177*0.17</f>
        <v>5.6857740729700019</v>
      </c>
      <c r="AK177" s="301">
        <f t="shared" si="592"/>
        <v>0</v>
      </c>
      <c r="AL177" s="301">
        <f t="shared" si="579"/>
        <v>0</v>
      </c>
      <c r="AM177" s="301"/>
      <c r="AN177" s="301">
        <f>+IF(D177=0.333,1.33,0)</f>
        <v>0</v>
      </c>
      <c r="AO177" s="299"/>
      <c r="AP177" s="301"/>
      <c r="AQ177" s="301"/>
    </row>
    <row r="178" spans="2:43" ht="20.100000000000001" customHeight="1" x14ac:dyDescent="0.3">
      <c r="B178" s="92"/>
      <c r="C178" s="95" t="s">
        <v>335</v>
      </c>
      <c r="D178" s="98">
        <v>0.66700000000000004</v>
      </c>
      <c r="E178" s="415">
        <f>-1*0</f>
        <v>0</v>
      </c>
      <c r="F178" s="415">
        <f>1*0</f>
        <v>0</v>
      </c>
      <c r="G178" s="98">
        <f>4+4</f>
        <v>8</v>
      </c>
      <c r="H178" s="98">
        <f>+D178</f>
        <v>0.66700000000000004</v>
      </c>
      <c r="I178" s="102"/>
      <c r="J178" s="99">
        <v>3</v>
      </c>
      <c r="K178" s="100">
        <f>+IF(D178=0.667,E178*F178*G178*H178*J178,0)</f>
        <v>0</v>
      </c>
      <c r="L178" s="100">
        <f>+IF(D178=0.333,E178*F178*G178*J178,0)</f>
        <v>0</v>
      </c>
      <c r="M178" s="99">
        <v>4</v>
      </c>
      <c r="N178" s="100">
        <f>+IF(D178=0.667,E178*F178*G178*H178*M178,0)</f>
        <v>0</v>
      </c>
      <c r="O178" s="100">
        <f>+IF(D178=0.333,E178*F178*G178*M178,0)</f>
        <v>0</v>
      </c>
      <c r="P178" s="99">
        <v>1</v>
      </c>
      <c r="Q178" s="100">
        <f>+IF(D178=0.667,E178*F178*G178*H178*P178,0)</f>
        <v>0</v>
      </c>
      <c r="R178" s="100">
        <f>+IF(D178=0.333,E178*F178*G178*P178,0)</f>
        <v>0</v>
      </c>
      <c r="S178" s="555"/>
      <c r="T178" s="101">
        <f t="shared" si="577"/>
        <v>0</v>
      </c>
      <c r="U178" s="92"/>
      <c r="V178" s="91"/>
      <c r="W178" s="98">
        <f>+G178+D178*2</f>
        <v>9.3339999999999996</v>
      </c>
      <c r="X178" s="98">
        <v>0.5</v>
      </c>
      <c r="Y178" s="98">
        <f>+IF(D178=0.667,-E178*F178*H178*W178*X178,0)</f>
        <v>0</v>
      </c>
      <c r="Z178" s="98">
        <f>+IF(D178=0.333,-E178*F178*H178*W178*X178,0)</f>
        <v>0</v>
      </c>
      <c r="AA178" s="98">
        <f>+F178*G178*H178</f>
        <v>0</v>
      </c>
      <c r="AB178" s="98">
        <f t="shared" ref="AB178" si="593">2*F178*W178*X178</f>
        <v>0</v>
      </c>
      <c r="AC178" s="91"/>
      <c r="AD178" s="98"/>
      <c r="AE178" s="98">
        <f>+IF(D178=0.667,AD178*W178*H178*F178,0)</f>
        <v>0</v>
      </c>
      <c r="AF178" s="98">
        <f>+IF(D178=0.333,AD178*W178*H178*F178,0)</f>
        <v>0</v>
      </c>
      <c r="AG178" s="91"/>
      <c r="AH178" s="460"/>
      <c r="AI178" s="299">
        <f>+AH178*G178*D178*0.17</f>
        <v>0</v>
      </c>
      <c r="AK178" s="301">
        <f t="shared" si="592"/>
        <v>0</v>
      </c>
      <c r="AL178" s="301">
        <f t="shared" si="579"/>
        <v>0</v>
      </c>
      <c r="AM178" s="301">
        <f>+IF(D178=0.667,1.33,0)*0</f>
        <v>0</v>
      </c>
      <c r="AN178" s="301"/>
      <c r="AO178" s="299"/>
      <c r="AP178" s="301"/>
      <c r="AQ178" s="301"/>
    </row>
    <row r="179" spans="2:43" ht="20.100000000000001" customHeight="1" x14ac:dyDescent="0.3">
      <c r="B179" s="369"/>
      <c r="C179" s="395"/>
      <c r="D179" s="371"/>
      <c r="E179" s="369"/>
      <c r="F179" s="369"/>
      <c r="G179" s="371"/>
      <c r="H179" s="371"/>
      <c r="I179" s="372"/>
      <c r="J179" s="371"/>
      <c r="K179" s="371"/>
      <c r="L179" s="371"/>
      <c r="M179" s="371"/>
      <c r="N179" s="371"/>
      <c r="O179" s="371"/>
      <c r="P179" s="371"/>
      <c r="Q179" s="371"/>
      <c r="R179" s="371"/>
      <c r="S179" s="371"/>
      <c r="T179" s="371"/>
      <c r="U179" s="369"/>
      <c r="V179" s="370"/>
      <c r="W179" s="372"/>
      <c r="X179" s="371"/>
      <c r="Y179" s="372"/>
      <c r="Z179" s="371"/>
      <c r="AA179" s="371"/>
      <c r="AB179" s="371"/>
      <c r="AC179" s="370"/>
      <c r="AD179" s="371"/>
      <c r="AE179" s="371"/>
      <c r="AF179" s="371"/>
      <c r="AG179" s="370"/>
      <c r="AH179" s="693"/>
      <c r="AI179" s="372"/>
      <c r="AK179" s="377"/>
      <c r="AL179" s="377"/>
      <c r="AM179" s="377"/>
      <c r="AN179" s="377"/>
      <c r="AO179" s="372"/>
      <c r="AP179" s="377"/>
      <c r="AQ179" s="377"/>
    </row>
    <row r="180" spans="2:43" ht="20.100000000000001" customHeight="1" x14ac:dyDescent="0.3">
      <c r="B180" s="369"/>
      <c r="C180" s="97" t="s">
        <v>361</v>
      </c>
      <c r="D180" s="371"/>
      <c r="E180" s="369"/>
      <c r="F180" s="369"/>
      <c r="G180" s="371"/>
      <c r="H180" s="371"/>
      <c r="I180" s="372"/>
      <c r="J180" s="371"/>
      <c r="K180" s="371"/>
      <c r="L180" s="371"/>
      <c r="M180" s="371"/>
      <c r="N180" s="371"/>
      <c r="O180" s="371"/>
      <c r="P180" s="371"/>
      <c r="Q180" s="371"/>
      <c r="R180" s="371"/>
      <c r="S180" s="371"/>
      <c r="T180" s="371"/>
      <c r="U180" s="369"/>
      <c r="V180" s="370"/>
      <c r="W180" s="372"/>
      <c r="X180" s="371"/>
      <c r="Y180" s="372"/>
      <c r="Z180" s="371"/>
      <c r="AA180" s="371"/>
      <c r="AB180" s="371"/>
      <c r="AC180" s="370"/>
      <c r="AD180" s="371"/>
      <c r="AE180" s="371"/>
      <c r="AF180" s="371"/>
      <c r="AG180" s="370"/>
      <c r="AH180" s="693"/>
      <c r="AI180" s="372"/>
      <c r="AK180" s="377"/>
      <c r="AL180" s="377"/>
      <c r="AM180" s="377"/>
      <c r="AN180" s="377"/>
      <c r="AO180" s="372"/>
      <c r="AP180" s="377"/>
      <c r="AQ180" s="377"/>
    </row>
    <row r="181" spans="2:43" ht="20.100000000000001" customHeight="1" x14ac:dyDescent="0.3">
      <c r="B181" s="92"/>
      <c r="C181" s="95" t="s">
        <v>33</v>
      </c>
      <c r="D181" s="98">
        <v>0.66700000000000004</v>
      </c>
      <c r="E181" s="92">
        <v>1</v>
      </c>
      <c r="F181" s="92">
        <v>1</v>
      </c>
      <c r="G181" s="671">
        <f>(5.173+7.713+3.617)*3.281</f>
        <v>54.146343000000002</v>
      </c>
      <c r="H181" s="98">
        <f>+D181</f>
        <v>0.66700000000000004</v>
      </c>
      <c r="I181" s="94">
        <v>2</v>
      </c>
      <c r="J181" s="99">
        <v>3</v>
      </c>
      <c r="K181" s="100">
        <f>+IF(D181=0.667,E181*F181*G181*H181*J181,0)</f>
        <v>108.346832343</v>
      </c>
      <c r="L181" s="100">
        <f>+IF(D181=0.333,E181*F181*G181*J181,0)</f>
        <v>0</v>
      </c>
      <c r="M181" s="99">
        <v>4</v>
      </c>
      <c r="N181" s="100">
        <f>+IF(D181=0.667,E181*F181*G181*H181*M181,0)</f>
        <v>144.462443124</v>
      </c>
      <c r="O181" s="100">
        <f>+IF(D181=0.333,E181*F181*G181*M181,0)</f>
        <v>0</v>
      </c>
      <c r="P181" s="81">
        <f>11.833-I181-M181-J181</f>
        <v>2.8330000000000002</v>
      </c>
      <c r="Q181" s="100">
        <f>+IF(D181=0.667,E181*F181*G181*H181*P181,0)</f>
        <v>102.31552534257301</v>
      </c>
      <c r="R181" s="100">
        <f>+IF(D181=0.333,E181*F181*G181*P181,0)</f>
        <v>0</v>
      </c>
      <c r="S181" s="101">
        <f t="shared" ref="S181:S184" si="594">+Q181+N181+K181</f>
        <v>355.124800809573</v>
      </c>
      <c r="T181" s="101">
        <f t="shared" ref="T181:T185" si="595">+R181+O181+L181</f>
        <v>0</v>
      </c>
      <c r="U181" s="92"/>
      <c r="V181" s="91"/>
      <c r="W181" s="102"/>
      <c r="X181" s="98"/>
      <c r="Y181" s="102"/>
      <c r="Z181" s="98"/>
      <c r="AA181" s="98"/>
      <c r="AB181" s="98"/>
      <c r="AC181" s="91"/>
      <c r="AD181" s="98"/>
      <c r="AE181" s="98"/>
      <c r="AF181" s="98"/>
      <c r="AG181" s="91"/>
      <c r="AH181" s="692">
        <v>1</v>
      </c>
      <c r="AI181" s="299">
        <f>+AH181*G181*D181*0.17</f>
        <v>6.1396538327700005</v>
      </c>
      <c r="AK181" s="301">
        <f t="shared" ref="AK181" si="596">+IF(D181=0.667,E181*F181*G181,0)</f>
        <v>54.146343000000002</v>
      </c>
      <c r="AL181" s="301">
        <f t="shared" ref="AL181:AL185" si="597">+IF(D181=0.333,E181*F181*G181,0)</f>
        <v>0</v>
      </c>
      <c r="AM181" s="301"/>
      <c r="AN181" s="301">
        <f>+IF(D181=0.333,1.33,0)</f>
        <v>0</v>
      </c>
      <c r="AO181" s="299"/>
      <c r="AP181" s="301"/>
      <c r="AQ181" s="301"/>
    </row>
    <row r="182" spans="2:43" ht="20.100000000000001" customHeight="1" x14ac:dyDescent="0.3">
      <c r="B182" s="92"/>
      <c r="C182" s="95" t="s">
        <v>347</v>
      </c>
      <c r="D182" s="98">
        <v>0.66700000000000004</v>
      </c>
      <c r="E182" s="92">
        <v>-1</v>
      </c>
      <c r="F182" s="92">
        <v>4</v>
      </c>
      <c r="G182" s="671">
        <v>6</v>
      </c>
      <c r="H182" s="98">
        <f t="shared" ref="H182" si="598">+D182</f>
        <v>0.66700000000000004</v>
      </c>
      <c r="I182" s="94"/>
      <c r="J182" s="99"/>
      <c r="K182" s="100">
        <f t="shared" ref="K182" si="599">+IF(D182=0.667,E182*F182*G182*H182*J182,0)</f>
        <v>0</v>
      </c>
      <c r="L182" s="100">
        <f t="shared" ref="L182" si="600">+IF(D182=0.333,E182*F182*G182*J182,0)</f>
        <v>0</v>
      </c>
      <c r="M182" s="99">
        <v>4</v>
      </c>
      <c r="N182" s="100">
        <f t="shared" ref="N182" si="601">+IF(D182=0.667,E182*F182*G182*H182*M182,0)</f>
        <v>-64.032000000000011</v>
      </c>
      <c r="O182" s="100">
        <f t="shared" ref="O182" si="602">+IF(D182=0.333,E182*F182*G182*M182,0)</f>
        <v>0</v>
      </c>
      <c r="P182" s="81">
        <v>0</v>
      </c>
      <c r="Q182" s="100">
        <f t="shared" ref="Q182" si="603">+IF(D182=0.667,E182*F182*G182*H182*P182,0)</f>
        <v>0</v>
      </c>
      <c r="R182" s="100">
        <f t="shared" ref="R182" si="604">+IF(D182=0.333,E182*F182*G182*P182,0)</f>
        <v>0</v>
      </c>
      <c r="S182" s="101">
        <f t="shared" si="594"/>
        <v>-64.032000000000011</v>
      </c>
      <c r="T182" s="101">
        <f t="shared" si="595"/>
        <v>0</v>
      </c>
      <c r="U182" s="92"/>
      <c r="V182" s="91"/>
      <c r="W182" s="454">
        <f>+G182+D182</f>
        <v>6.6669999999999998</v>
      </c>
      <c r="X182" s="690">
        <v>0.5</v>
      </c>
      <c r="Y182" s="454">
        <f>+IF(D182=0.667,-E182*F182*H182*W182*X182,0)</f>
        <v>8.8937780000000011</v>
      </c>
      <c r="Z182" s="690">
        <f>+IF(D182=0.333,-E182*F182*H182*W182*X182,0)</f>
        <v>0</v>
      </c>
      <c r="AA182" s="690">
        <f>+F182*G182*H182</f>
        <v>16.008000000000003</v>
      </c>
      <c r="AB182" s="690">
        <f t="shared" ref="AB182" si="605">2*F182*W182*X182</f>
        <v>26.667999999999999</v>
      </c>
      <c r="AC182" s="91"/>
      <c r="AD182" s="98">
        <v>0.16700000000000001</v>
      </c>
      <c r="AE182" s="98">
        <f t="shared" ref="AE182" si="606">+IF(D182=0.667,AD182*W182*H182*F182,0)</f>
        <v>2.9705218520000001</v>
      </c>
      <c r="AF182" s="98">
        <f t="shared" ref="AF182" si="607">+IF(D182=0.333,AD182*W182*H182*F182,0)</f>
        <v>0</v>
      </c>
      <c r="AG182" s="91"/>
      <c r="AH182" s="692"/>
      <c r="AI182" s="299">
        <f t="shared" ref="AI182" si="608">+AH182*G182*D182*0.17</f>
        <v>0</v>
      </c>
      <c r="AK182" s="301"/>
      <c r="AL182" s="301">
        <f t="shared" si="597"/>
        <v>0</v>
      </c>
      <c r="AM182" s="301"/>
      <c r="AN182" s="301"/>
      <c r="AO182" s="299"/>
      <c r="AP182" s="301"/>
      <c r="AQ182" s="301"/>
    </row>
    <row r="183" spans="2:43" ht="20.100000000000001" customHeight="1" x14ac:dyDescent="0.3">
      <c r="B183" s="92"/>
      <c r="C183" s="95" t="s">
        <v>31</v>
      </c>
      <c r="D183" s="98">
        <v>0.66700000000000004</v>
      </c>
      <c r="E183" s="415">
        <f>-1*0</f>
        <v>0</v>
      </c>
      <c r="F183" s="415">
        <f>1*0</f>
        <v>0</v>
      </c>
      <c r="G183" s="98">
        <f>(10.917)*3.281</f>
        <v>35.818677000000001</v>
      </c>
      <c r="H183" s="98">
        <f>+D183</f>
        <v>0.66700000000000004</v>
      </c>
      <c r="I183" s="94">
        <v>2</v>
      </c>
      <c r="J183" s="99">
        <v>3</v>
      </c>
      <c r="K183" s="100">
        <f>+IF(D183=0.667,E183*F183*G183*H183*J183,0)</f>
        <v>0</v>
      </c>
      <c r="L183" s="100">
        <f>+IF(D183=0.333,E183*F183*G183*J183,0)</f>
        <v>0</v>
      </c>
      <c r="M183" s="99">
        <v>4</v>
      </c>
      <c r="N183" s="100">
        <f>+IF(D183=0.667,E183*F183*G183*H183*M183,0)</f>
        <v>0</v>
      </c>
      <c r="O183" s="100">
        <f>+IF(D183=0.333,E183*F183*G183*M183,0)</f>
        <v>0</v>
      </c>
      <c r="P183" s="81">
        <f t="shared" ref="P183:P184" si="609">11.833-I183-M183-J183</f>
        <v>2.8330000000000002</v>
      </c>
      <c r="Q183" s="100">
        <f>+IF(D183=0.667,E183*F183*G183*H183*P183,0)</f>
        <v>0</v>
      </c>
      <c r="R183" s="100">
        <f>+IF(D183=0.333,E183*F183*G183*P183,0)</f>
        <v>0</v>
      </c>
      <c r="S183" s="555"/>
      <c r="T183" s="101">
        <f t="shared" si="595"/>
        <v>0</v>
      </c>
      <c r="U183" s="92"/>
      <c r="V183" s="91"/>
      <c r="W183" s="102"/>
      <c r="X183" s="98"/>
      <c r="Y183" s="102"/>
      <c r="Z183" s="98"/>
      <c r="AA183" s="98"/>
      <c r="AB183" s="98"/>
      <c r="AC183" s="91"/>
      <c r="AD183" s="98"/>
      <c r="AE183" s="98"/>
      <c r="AF183" s="98"/>
      <c r="AG183" s="91"/>
      <c r="AH183" s="415">
        <f>1*0</f>
        <v>0</v>
      </c>
      <c r="AI183" s="299">
        <f>+AH183*G183*D183*0.17</f>
        <v>0</v>
      </c>
      <c r="AK183" s="301">
        <f t="shared" ref="AK183:AK185" si="610">+IF(D183=0.667,E183*F183*G183,0)</f>
        <v>0</v>
      </c>
      <c r="AL183" s="301">
        <f t="shared" si="597"/>
        <v>0</v>
      </c>
      <c r="AM183" s="301"/>
      <c r="AN183" s="301">
        <f>+IF(D183=0.333,1.33,0)</f>
        <v>0</v>
      </c>
      <c r="AO183" s="299"/>
      <c r="AP183" s="301"/>
      <c r="AQ183" s="301"/>
    </row>
    <row r="184" spans="2:43" ht="20.100000000000001" customHeight="1" x14ac:dyDescent="0.3">
      <c r="B184" s="92"/>
      <c r="C184" s="95" t="s">
        <v>32</v>
      </c>
      <c r="D184" s="98">
        <v>0.66700000000000004</v>
      </c>
      <c r="E184" s="92">
        <v>1</v>
      </c>
      <c r="F184" s="92">
        <v>1</v>
      </c>
      <c r="G184" s="656">
        <f>(0.601+3.78)*3.281</f>
        <v>14.374061000000001</v>
      </c>
      <c r="H184" s="98">
        <f>+D184</f>
        <v>0.66700000000000004</v>
      </c>
      <c r="I184" s="94">
        <v>2</v>
      </c>
      <c r="J184" s="99">
        <v>3</v>
      </c>
      <c r="K184" s="100">
        <f>+IF(D184=0.667,E184*F184*G184*H184*J184,0)</f>
        <v>28.762496061000007</v>
      </c>
      <c r="L184" s="100">
        <f>+IF(D184=0.333,E184*F184*G184*J184,0)</f>
        <v>0</v>
      </c>
      <c r="M184" s="99">
        <v>4</v>
      </c>
      <c r="N184" s="100">
        <f>+IF(D184=0.667,E184*F184*G184*H184*M184,0)</f>
        <v>38.349994748000007</v>
      </c>
      <c r="O184" s="100">
        <f>+IF(D184=0.333,E184*F184*G184*M184,0)</f>
        <v>0</v>
      </c>
      <c r="P184" s="81">
        <f t="shared" si="609"/>
        <v>2.8330000000000002</v>
      </c>
      <c r="Q184" s="100">
        <f>+IF(D184=0.667,E184*F184*G184*H184*P184,0)</f>
        <v>27.161383780271006</v>
      </c>
      <c r="R184" s="100">
        <f>+IF(D184=0.333,E184*F184*G184*P184,0)</f>
        <v>0</v>
      </c>
      <c r="S184" s="101">
        <f t="shared" si="594"/>
        <v>94.273874589271017</v>
      </c>
      <c r="T184" s="101">
        <f t="shared" si="595"/>
        <v>0</v>
      </c>
      <c r="U184" s="92"/>
      <c r="V184" s="91"/>
      <c r="W184" s="102"/>
      <c r="X184" s="98"/>
      <c r="Y184" s="102"/>
      <c r="Z184" s="98"/>
      <c r="AA184" s="98"/>
      <c r="AB184" s="98"/>
      <c r="AC184" s="91"/>
      <c r="AD184" s="98"/>
      <c r="AE184" s="98"/>
      <c r="AF184" s="98"/>
      <c r="AG184" s="91"/>
      <c r="AH184" s="692">
        <v>1</v>
      </c>
      <c r="AI184" s="299">
        <f>+AH184*G184*D184*0.17</f>
        <v>1.6298747767900004</v>
      </c>
      <c r="AK184" s="301">
        <f t="shared" si="610"/>
        <v>14.374061000000001</v>
      </c>
      <c r="AL184" s="301">
        <f t="shared" si="597"/>
        <v>0</v>
      </c>
      <c r="AM184" s="301"/>
      <c r="AN184" s="301">
        <f>+IF(D184=0.333,1.33,0)</f>
        <v>0</v>
      </c>
      <c r="AO184" s="299"/>
      <c r="AP184" s="301"/>
      <c r="AQ184" s="301"/>
    </row>
    <row r="185" spans="2:43" ht="20.100000000000001" customHeight="1" x14ac:dyDescent="0.3">
      <c r="B185" s="92"/>
      <c r="C185" s="95" t="s">
        <v>335</v>
      </c>
      <c r="D185" s="98">
        <v>0.66700000000000004</v>
      </c>
      <c r="E185" s="415">
        <f>-1*0</f>
        <v>0</v>
      </c>
      <c r="F185" s="415">
        <f>1*0</f>
        <v>0</v>
      </c>
      <c r="G185" s="98">
        <f>4+4</f>
        <v>8</v>
      </c>
      <c r="H185" s="98">
        <f>+D185</f>
        <v>0.66700000000000004</v>
      </c>
      <c r="I185" s="102"/>
      <c r="J185" s="99">
        <v>3</v>
      </c>
      <c r="K185" s="100">
        <f>+IF(D185=0.667,E185*F185*G185*H185*J185,0)</f>
        <v>0</v>
      </c>
      <c r="L185" s="100">
        <f>+IF(D185=0.333,E185*F185*G185*J185,0)</f>
        <v>0</v>
      </c>
      <c r="M185" s="99">
        <v>4</v>
      </c>
      <c r="N185" s="100">
        <f>+IF(D185=0.667,E185*F185*G185*H185*M185,0)</f>
        <v>0</v>
      </c>
      <c r="O185" s="100">
        <f>+IF(D185=0.333,E185*F185*G185*M185,0)</f>
        <v>0</v>
      </c>
      <c r="P185" s="99">
        <v>1</v>
      </c>
      <c r="Q185" s="100">
        <f>+IF(D185=0.667,E185*F185*G185*H185*P185,0)</f>
        <v>0</v>
      </c>
      <c r="R185" s="100">
        <f>+IF(D185=0.333,E185*F185*G185*P185,0)</f>
        <v>0</v>
      </c>
      <c r="S185" s="555"/>
      <c r="T185" s="101">
        <f t="shared" si="595"/>
        <v>0</v>
      </c>
      <c r="U185" s="92"/>
      <c r="V185" s="91"/>
      <c r="W185" s="98">
        <f>+G185+D185*2</f>
        <v>9.3339999999999996</v>
      </c>
      <c r="X185" s="98">
        <v>0.5</v>
      </c>
      <c r="Y185" s="98">
        <f>+IF(D185=0.667,-E185*F185*H185*W185*X185,0)</f>
        <v>0</v>
      </c>
      <c r="Z185" s="98">
        <f>+IF(D185=0.333,-E185*F185*H185*W185*X185,0)</f>
        <v>0</v>
      </c>
      <c r="AA185" s="98">
        <f>+F185*G185*H185</f>
        <v>0</v>
      </c>
      <c r="AB185" s="98">
        <f t="shared" ref="AB185" si="611">2*F185*W185*X185</f>
        <v>0</v>
      </c>
      <c r="AC185" s="91"/>
      <c r="AD185" s="98"/>
      <c r="AE185" s="98">
        <f>+IF(D185=0.667,AD185*W185*H185*F185,0)</f>
        <v>0</v>
      </c>
      <c r="AF185" s="98">
        <f>+IF(D185=0.333,AD185*W185*H185*F185,0)</f>
        <v>0</v>
      </c>
      <c r="AG185" s="91"/>
      <c r="AH185" s="415">
        <f>1*0</f>
        <v>0</v>
      </c>
      <c r="AI185" s="299">
        <f>+AH185*G185*D185*0.17</f>
        <v>0</v>
      </c>
      <c r="AK185" s="301">
        <f t="shared" si="610"/>
        <v>0</v>
      </c>
      <c r="AL185" s="301">
        <f t="shared" si="597"/>
        <v>0</v>
      </c>
      <c r="AM185" s="301">
        <f>+IF(D185=0.667,1.33,0)</f>
        <v>1.33</v>
      </c>
      <c r="AN185" s="301"/>
      <c r="AO185" s="299"/>
      <c r="AP185" s="301"/>
      <c r="AQ185" s="301"/>
    </row>
    <row r="186" spans="2:43" ht="20.100000000000001" customHeight="1" x14ac:dyDescent="0.3">
      <c r="B186" s="369"/>
      <c r="C186" s="395"/>
      <c r="D186" s="371"/>
      <c r="E186" s="369"/>
      <c r="F186" s="369"/>
      <c r="G186" s="371"/>
      <c r="H186" s="371"/>
      <c r="I186" s="372"/>
      <c r="J186" s="371"/>
      <c r="K186" s="371"/>
      <c r="L186" s="371"/>
      <c r="M186" s="371"/>
      <c r="N186" s="371"/>
      <c r="O186" s="371"/>
      <c r="P186" s="371"/>
      <c r="Q186" s="371"/>
      <c r="R186" s="371"/>
      <c r="S186" s="371"/>
      <c r="T186" s="371"/>
      <c r="U186" s="369"/>
      <c r="V186" s="370"/>
      <c r="W186" s="372"/>
      <c r="X186" s="371"/>
      <c r="Y186" s="372"/>
      <c r="Z186" s="371"/>
      <c r="AA186" s="371"/>
      <c r="AB186" s="371"/>
      <c r="AC186" s="370"/>
      <c r="AD186" s="371"/>
      <c r="AE186" s="371"/>
      <c r="AF186" s="371"/>
      <c r="AG186" s="370"/>
      <c r="AH186" s="693"/>
      <c r="AI186" s="372"/>
      <c r="AK186" s="377"/>
      <c r="AL186" s="377"/>
      <c r="AM186" s="377"/>
      <c r="AN186" s="377"/>
      <c r="AO186" s="372"/>
      <c r="AP186" s="377"/>
      <c r="AQ186" s="377"/>
    </row>
    <row r="187" spans="2:43" ht="20.100000000000001" customHeight="1" x14ac:dyDescent="0.3">
      <c r="B187" s="369"/>
      <c r="C187" s="97" t="s">
        <v>362</v>
      </c>
      <c r="D187" s="371"/>
      <c r="E187" s="369"/>
      <c r="F187" s="369"/>
      <c r="G187" s="371"/>
      <c r="H187" s="371"/>
      <c r="I187" s="372"/>
      <c r="J187" s="371"/>
      <c r="K187" s="371"/>
      <c r="L187" s="371"/>
      <c r="M187" s="371"/>
      <c r="N187" s="371"/>
      <c r="O187" s="371"/>
      <c r="P187" s="371"/>
      <c r="Q187" s="371"/>
      <c r="R187" s="371"/>
      <c r="S187" s="371"/>
      <c r="T187" s="371"/>
      <c r="U187" s="369"/>
      <c r="V187" s="370"/>
      <c r="W187" s="372"/>
      <c r="X187" s="371"/>
      <c r="Y187" s="372"/>
      <c r="Z187" s="371"/>
      <c r="AA187" s="371"/>
      <c r="AB187" s="371"/>
      <c r="AC187" s="370"/>
      <c r="AD187" s="371"/>
      <c r="AE187" s="371"/>
      <c r="AF187" s="371"/>
      <c r="AG187" s="370"/>
      <c r="AH187" s="693"/>
      <c r="AI187" s="372"/>
      <c r="AK187" s="377"/>
      <c r="AL187" s="377"/>
      <c r="AM187" s="377"/>
      <c r="AN187" s="377"/>
      <c r="AO187" s="372"/>
      <c r="AP187" s="377"/>
      <c r="AQ187" s="377"/>
    </row>
    <row r="188" spans="2:43" ht="20.100000000000001" customHeight="1" x14ac:dyDescent="0.3">
      <c r="B188" s="92"/>
      <c r="C188" s="95" t="s">
        <v>33</v>
      </c>
      <c r="D188" s="98">
        <v>0.66700000000000004</v>
      </c>
      <c r="E188" s="92">
        <v>1</v>
      </c>
      <c r="F188" s="92">
        <v>1</v>
      </c>
      <c r="G188" s="671">
        <f>(4.098+8.165+7.763)*3.281</f>
        <v>65.705305999999993</v>
      </c>
      <c r="H188" s="98">
        <f>+D188</f>
        <v>0.66700000000000004</v>
      </c>
      <c r="I188" s="94">
        <v>2</v>
      </c>
      <c r="J188" s="99">
        <v>3</v>
      </c>
      <c r="K188" s="100">
        <f>+IF(D188=0.667,E188*F188*G188*H188*J188,0)</f>
        <v>131.476317306</v>
      </c>
      <c r="L188" s="100">
        <f>+IF(D188=0.333,E188*F188*G188*J188,0)</f>
        <v>0</v>
      </c>
      <c r="M188" s="99">
        <v>4</v>
      </c>
      <c r="N188" s="100">
        <f>+IF(D188=0.667,E188*F188*G188*H188*M188,0)</f>
        <v>175.30175640799999</v>
      </c>
      <c r="O188" s="100">
        <f>+IF(D188=0.333,E188*F188*G188*M188,0)</f>
        <v>0</v>
      </c>
      <c r="P188" s="81">
        <f>11.833-I188-M188-J188</f>
        <v>2.8330000000000002</v>
      </c>
      <c r="Q188" s="100">
        <f>+IF(D188=0.667,E188*F188*G188*H188*P188,0)</f>
        <v>124.157468975966</v>
      </c>
      <c r="R188" s="100">
        <f>+IF(D188=0.333,E188*F188*G188*P188,0)</f>
        <v>0</v>
      </c>
      <c r="S188" s="101">
        <f t="shared" ref="S188:S194" si="612">+Q188+N188+K188</f>
        <v>430.93554268996598</v>
      </c>
      <c r="T188" s="101">
        <f t="shared" ref="T188:T194" si="613">+R188+O188+L188</f>
        <v>0</v>
      </c>
      <c r="U188" s="92"/>
      <c r="V188" s="91"/>
      <c r="W188" s="102"/>
      <c r="X188" s="98"/>
      <c r="Y188" s="102"/>
      <c r="Z188" s="98"/>
      <c r="AA188" s="98"/>
      <c r="AB188" s="98"/>
      <c r="AC188" s="91"/>
      <c r="AD188" s="98"/>
      <c r="AE188" s="98"/>
      <c r="AF188" s="98"/>
      <c r="AG188" s="91"/>
      <c r="AH188" s="692">
        <v>1</v>
      </c>
      <c r="AI188" s="299">
        <f>+AH188*G188*D188*0.17</f>
        <v>7.4503246473400004</v>
      </c>
      <c r="AK188" s="301">
        <f t="shared" ref="AK188" si="614">+IF(D188=0.667,E188*F188*G188,0)</f>
        <v>65.705305999999993</v>
      </c>
      <c r="AL188" s="301">
        <f t="shared" ref="AL188:AL194" si="615">+IF(D188=0.333,E188*F188*G188,0)</f>
        <v>0</v>
      </c>
      <c r="AM188" s="301"/>
      <c r="AN188" s="301">
        <f>+IF(D188=0.333,1.33,0)</f>
        <v>0</v>
      </c>
      <c r="AO188" s="299"/>
      <c r="AP188" s="301"/>
      <c r="AQ188" s="301"/>
    </row>
    <row r="189" spans="2:43" ht="20.100000000000001" customHeight="1" x14ac:dyDescent="0.3">
      <c r="B189" s="92"/>
      <c r="C189" s="95" t="s">
        <v>347</v>
      </c>
      <c r="D189" s="98">
        <v>0.66700000000000004</v>
      </c>
      <c r="E189" s="92">
        <v>-1</v>
      </c>
      <c r="F189" s="92">
        <v>5</v>
      </c>
      <c r="G189" s="671">
        <v>6</v>
      </c>
      <c r="H189" s="98">
        <f t="shared" ref="H189" si="616">+D189</f>
        <v>0.66700000000000004</v>
      </c>
      <c r="I189" s="94"/>
      <c r="J189" s="99"/>
      <c r="K189" s="100">
        <f t="shared" ref="K189" si="617">+IF(D189=0.667,E189*F189*G189*H189*J189,0)</f>
        <v>0</v>
      </c>
      <c r="L189" s="100">
        <f t="shared" ref="L189" si="618">+IF(D189=0.333,E189*F189*G189*J189,0)</f>
        <v>0</v>
      </c>
      <c r="M189" s="99">
        <v>4</v>
      </c>
      <c r="N189" s="100">
        <f t="shared" ref="N189" si="619">+IF(D189=0.667,E189*F189*G189*H189*M189,0)</f>
        <v>-80.040000000000006</v>
      </c>
      <c r="O189" s="100">
        <f t="shared" ref="O189" si="620">+IF(D189=0.333,E189*F189*G189*M189,0)</f>
        <v>0</v>
      </c>
      <c r="P189" s="81">
        <v>0</v>
      </c>
      <c r="Q189" s="100">
        <f t="shared" ref="Q189" si="621">+IF(D189=0.667,E189*F189*G189*H189*P189,0)</f>
        <v>0</v>
      </c>
      <c r="R189" s="100">
        <f t="shared" ref="R189" si="622">+IF(D189=0.333,E189*F189*G189*P189,0)</f>
        <v>0</v>
      </c>
      <c r="S189" s="101">
        <f t="shared" si="612"/>
        <v>-80.040000000000006</v>
      </c>
      <c r="T189" s="101">
        <f t="shared" si="613"/>
        <v>0</v>
      </c>
      <c r="U189" s="92"/>
      <c r="V189" s="91"/>
      <c r="W189" s="454">
        <f>+G189+D189</f>
        <v>6.6669999999999998</v>
      </c>
      <c r="X189" s="690">
        <v>0.5</v>
      </c>
      <c r="Y189" s="454">
        <f>+IF(D189=0.667,-E189*F189*H189*W189*X189,0)</f>
        <v>11.1172225</v>
      </c>
      <c r="Z189" s="690">
        <f>+IF(D189=0.333,-E189*F189*H189*W189*X189,0)</f>
        <v>0</v>
      </c>
      <c r="AA189" s="690">
        <f>+F189*G189*H189</f>
        <v>20.010000000000002</v>
      </c>
      <c r="AB189" s="690">
        <f t="shared" ref="AB189" si="623">2*F189*W189*X189</f>
        <v>33.335000000000001</v>
      </c>
      <c r="AC189" s="91"/>
      <c r="AD189" s="98">
        <v>0.16700000000000001</v>
      </c>
      <c r="AE189" s="98">
        <f t="shared" ref="AE189" si="624">+IF(D189=0.667,AD189*W189*H189*F189,0)</f>
        <v>3.7131523150000003</v>
      </c>
      <c r="AF189" s="98">
        <f t="shared" ref="AF189" si="625">+IF(D189=0.333,AD189*W189*H189*F189,0)</f>
        <v>0</v>
      </c>
      <c r="AG189" s="91"/>
      <c r="AH189" s="692"/>
      <c r="AI189" s="299">
        <f t="shared" ref="AI189" si="626">+AH189*G189*D189*0.17</f>
        <v>0</v>
      </c>
      <c r="AK189" s="301"/>
      <c r="AL189" s="301">
        <f t="shared" si="615"/>
        <v>0</v>
      </c>
      <c r="AM189" s="301"/>
      <c r="AN189" s="301"/>
      <c r="AO189" s="299"/>
      <c r="AP189" s="301"/>
      <c r="AQ189" s="301"/>
    </row>
    <row r="190" spans="2:43" ht="20.100000000000001" customHeight="1" x14ac:dyDescent="0.3">
      <c r="B190" s="92"/>
      <c r="C190" s="95" t="s">
        <v>31</v>
      </c>
      <c r="D190" s="98">
        <v>0.66700000000000004</v>
      </c>
      <c r="E190" s="92">
        <v>1</v>
      </c>
      <c r="F190" s="92">
        <v>1</v>
      </c>
      <c r="G190" s="671">
        <f>(6.785+5.38+4.6)*3.281</f>
        <v>55.005965000000003</v>
      </c>
      <c r="H190" s="98">
        <f>+D190</f>
        <v>0.66700000000000004</v>
      </c>
      <c r="I190" s="94">
        <v>2</v>
      </c>
      <c r="J190" s="99">
        <v>3</v>
      </c>
      <c r="K190" s="100">
        <f>+IF(D190=0.667,E190*F190*G190*H190*J190,0)</f>
        <v>110.06693596500003</v>
      </c>
      <c r="L190" s="100">
        <f>+IF(D190=0.333,E190*F190*G190*J190,0)</f>
        <v>0</v>
      </c>
      <c r="M190" s="99">
        <v>4</v>
      </c>
      <c r="N190" s="100">
        <f>+IF(D190=0.667,E190*F190*G190*H190*M190,0)</f>
        <v>146.75591462000003</v>
      </c>
      <c r="O190" s="100">
        <f>+IF(D190=0.333,E190*F190*G190*M190,0)</f>
        <v>0</v>
      </c>
      <c r="P190" s="81">
        <f>11.833-I190-M190-J190</f>
        <v>2.8330000000000002</v>
      </c>
      <c r="Q190" s="100">
        <f>+IF(D190=0.667,E190*F190*G190*H190*P190,0)</f>
        <v>103.93987652961502</v>
      </c>
      <c r="R190" s="100">
        <f>+IF(D190=0.333,E190*F190*G190*P190,0)</f>
        <v>0</v>
      </c>
      <c r="S190" s="101">
        <f t="shared" si="612"/>
        <v>360.76272711461507</v>
      </c>
      <c r="T190" s="101">
        <f t="shared" si="613"/>
        <v>0</v>
      </c>
      <c r="U190" s="92"/>
      <c r="V190" s="91"/>
      <c r="W190" s="102"/>
      <c r="X190" s="98"/>
      <c r="Y190" s="102"/>
      <c r="Z190" s="98"/>
      <c r="AA190" s="98"/>
      <c r="AB190" s="98"/>
      <c r="AC190" s="91"/>
      <c r="AD190" s="98"/>
      <c r="AE190" s="98"/>
      <c r="AF190" s="98"/>
      <c r="AG190" s="91"/>
      <c r="AH190" s="692">
        <v>1</v>
      </c>
      <c r="AI190" s="299">
        <f>+AH190*G190*D190*0.17</f>
        <v>6.2371263713500014</v>
      </c>
      <c r="AK190" s="301">
        <f t="shared" ref="AK190:AK194" si="627">+IF(D190=0.667,E190*F190*G190,0)</f>
        <v>55.005965000000003</v>
      </c>
      <c r="AL190" s="301">
        <f t="shared" si="615"/>
        <v>0</v>
      </c>
      <c r="AM190" s="301"/>
      <c r="AN190" s="301">
        <f>+IF(D190=0.333,1.33,0)</f>
        <v>0</v>
      </c>
      <c r="AO190" s="299"/>
      <c r="AP190" s="301"/>
      <c r="AQ190" s="301"/>
    </row>
    <row r="191" spans="2:43" ht="20.100000000000001" customHeight="1" x14ac:dyDescent="0.3">
      <c r="B191" s="92"/>
      <c r="C191" s="95" t="s">
        <v>347</v>
      </c>
      <c r="D191" s="98">
        <v>0.66700000000000004</v>
      </c>
      <c r="E191" s="92">
        <v>-1</v>
      </c>
      <c r="F191" s="673">
        <v>1</v>
      </c>
      <c r="G191" s="671">
        <v>6</v>
      </c>
      <c r="H191" s="98">
        <f t="shared" ref="H191:H192" si="628">+D191</f>
        <v>0.66700000000000004</v>
      </c>
      <c r="I191" s="94"/>
      <c r="J191" s="99"/>
      <c r="K191" s="100">
        <f t="shared" ref="K191:K192" si="629">+IF(D191=0.667,E191*F191*G191*H191*J191,0)</f>
        <v>0</v>
      </c>
      <c r="L191" s="100">
        <f t="shared" ref="L191:L192" si="630">+IF(D191=0.333,E191*F191*G191*J191,0)</f>
        <v>0</v>
      </c>
      <c r="M191" s="99">
        <v>4</v>
      </c>
      <c r="N191" s="100">
        <f t="shared" ref="N191:N192" si="631">+IF(D191=0.667,E191*F191*G191*H191*M191,0)</f>
        <v>-16.008000000000003</v>
      </c>
      <c r="O191" s="100">
        <f t="shared" ref="O191:O192" si="632">+IF(D191=0.333,E191*F191*G191*M191,0)</f>
        <v>0</v>
      </c>
      <c r="P191" s="81">
        <v>0</v>
      </c>
      <c r="Q191" s="100">
        <f t="shared" ref="Q191:Q192" si="633">+IF(D191=0.667,E191*F191*G191*H191*P191,0)</f>
        <v>0</v>
      </c>
      <c r="R191" s="100">
        <f t="shared" ref="R191:R192" si="634">+IF(D191=0.333,E191*F191*G191*P191,0)</f>
        <v>0</v>
      </c>
      <c r="S191" s="101">
        <f t="shared" ref="S191:S192" si="635">+Q191+N191+K191</f>
        <v>-16.008000000000003</v>
      </c>
      <c r="T191" s="101">
        <f t="shared" ref="T191:T192" si="636">+R191+O191+L191</f>
        <v>0</v>
      </c>
      <c r="U191" s="92"/>
      <c r="V191" s="91"/>
      <c r="W191" s="454">
        <f>+G191+D191</f>
        <v>6.6669999999999998</v>
      </c>
      <c r="X191" s="690">
        <v>0.5</v>
      </c>
      <c r="Y191" s="454">
        <f>+IF(D191=0.667,-E191*F191*H191*W191*X191,0)</f>
        <v>2.2234445000000003</v>
      </c>
      <c r="Z191" s="690">
        <f>+IF(D191=0.333,-E191*F191*H191*W191*X191,0)</f>
        <v>0</v>
      </c>
      <c r="AA191" s="690">
        <f>+F191*G191*H191</f>
        <v>4.0020000000000007</v>
      </c>
      <c r="AB191" s="690">
        <f t="shared" ref="AB191:AB192" si="637">2*F191*W191*X191</f>
        <v>6.6669999999999998</v>
      </c>
      <c r="AC191" s="91"/>
      <c r="AD191" s="98">
        <v>0.16700000000000001</v>
      </c>
      <c r="AE191" s="98">
        <f t="shared" ref="AE191:AE192" si="638">+IF(D191=0.667,AD191*W191*H191*F191,0)</f>
        <v>0.74263046300000002</v>
      </c>
      <c r="AF191" s="98">
        <f t="shared" ref="AF191:AF192" si="639">+IF(D191=0.333,AD191*W191*H191*F191,0)</f>
        <v>0</v>
      </c>
      <c r="AG191" s="91"/>
      <c r="AH191" s="692"/>
      <c r="AI191" s="299">
        <f t="shared" ref="AI191:AI192" si="640">+AH191*G191*D191*0.17</f>
        <v>0</v>
      </c>
      <c r="AK191" s="301"/>
      <c r="AL191" s="301">
        <f t="shared" ref="AL191" si="641">+IF(D191=0.333,E191*F191*G191,0)</f>
        <v>0</v>
      </c>
      <c r="AM191" s="301"/>
      <c r="AN191" s="301"/>
      <c r="AO191" s="299"/>
      <c r="AP191" s="301"/>
      <c r="AQ191" s="301"/>
    </row>
    <row r="192" spans="2:43" ht="20.100000000000001" customHeight="1" x14ac:dyDescent="0.3">
      <c r="B192" s="18"/>
      <c r="C192" s="62" t="s">
        <v>48</v>
      </c>
      <c r="D192" s="298">
        <v>0.66700000000000004</v>
      </c>
      <c r="E192" s="18">
        <v>-1</v>
      </c>
      <c r="F192" s="92">
        <f>1</f>
        <v>1</v>
      </c>
      <c r="G192" s="674">
        <v>5</v>
      </c>
      <c r="H192" s="20">
        <f t="shared" si="628"/>
        <v>0.66700000000000004</v>
      </c>
      <c r="I192" s="21"/>
      <c r="J192" s="81"/>
      <c r="K192" s="103">
        <f t="shared" si="629"/>
        <v>0</v>
      </c>
      <c r="L192" s="103">
        <f t="shared" si="630"/>
        <v>0</v>
      </c>
      <c r="M192" s="81">
        <v>2.25</v>
      </c>
      <c r="N192" s="103">
        <f t="shared" si="631"/>
        <v>-7.5037500000000001</v>
      </c>
      <c r="O192" s="103">
        <f t="shared" si="632"/>
        <v>0</v>
      </c>
      <c r="P192" s="81"/>
      <c r="Q192" s="103">
        <f t="shared" si="633"/>
        <v>0</v>
      </c>
      <c r="R192" s="103">
        <f t="shared" si="634"/>
        <v>0</v>
      </c>
      <c r="S192" s="104">
        <f t="shared" si="635"/>
        <v>-7.5037500000000001</v>
      </c>
      <c r="T192" s="104">
        <f t="shared" si="636"/>
        <v>0</v>
      </c>
      <c r="U192" s="18"/>
      <c r="V192" s="26"/>
      <c r="W192" s="225">
        <f>+G192+D192</f>
        <v>5.6669999999999998</v>
      </c>
      <c r="X192" s="225">
        <v>0.5</v>
      </c>
      <c r="Y192" s="225">
        <f>+IF(D192=0.667,-E192*F192*H192*W192*X192,0)</f>
        <v>1.8899445000000001</v>
      </c>
      <c r="Z192" s="225">
        <f>+IF(D192=0.333,-E192*F192*H192*W192*X192,0)</f>
        <v>0</v>
      </c>
      <c r="AA192" s="225">
        <f>+F192*G192*H192</f>
        <v>3.335</v>
      </c>
      <c r="AB192" s="225">
        <f t="shared" si="637"/>
        <v>5.6669999999999998</v>
      </c>
      <c r="AC192" s="27"/>
      <c r="AD192" s="21">
        <v>0.16700000000000001</v>
      </c>
      <c r="AE192" s="21">
        <f t="shared" si="638"/>
        <v>0.63124146300000006</v>
      </c>
      <c r="AF192" s="21">
        <f t="shared" si="639"/>
        <v>0</v>
      </c>
      <c r="AG192" s="27"/>
      <c r="AH192" s="396"/>
      <c r="AI192" s="21">
        <f t="shared" si="640"/>
        <v>0</v>
      </c>
      <c r="AK192" s="301"/>
      <c r="AL192" s="301"/>
      <c r="AM192" s="301"/>
      <c r="AN192" s="301"/>
      <c r="AO192" s="299"/>
      <c r="AP192" s="301"/>
      <c r="AQ192" s="301"/>
    </row>
    <row r="193" spans="2:43" ht="20.100000000000001" customHeight="1" x14ac:dyDescent="0.3">
      <c r="B193" s="92"/>
      <c r="C193" s="95" t="s">
        <v>32</v>
      </c>
      <c r="D193" s="98">
        <v>0.66700000000000004</v>
      </c>
      <c r="E193" s="92">
        <v>1</v>
      </c>
      <c r="F193" s="92">
        <v>1</v>
      </c>
      <c r="G193" s="671">
        <f>(15.98)*3.281</f>
        <v>52.430380000000007</v>
      </c>
      <c r="H193" s="98">
        <f>+D193</f>
        <v>0.66700000000000004</v>
      </c>
      <c r="I193" s="94">
        <v>2</v>
      </c>
      <c r="J193" s="99">
        <v>3</v>
      </c>
      <c r="K193" s="100">
        <f>+IF(D193=0.667,E193*F193*G193*H193*J193,0)</f>
        <v>104.91319038</v>
      </c>
      <c r="L193" s="100">
        <f>+IF(D193=0.333,E193*F193*G193*J193,0)</f>
        <v>0</v>
      </c>
      <c r="M193" s="99">
        <v>4</v>
      </c>
      <c r="N193" s="100">
        <f>+IF(D193=0.667,E193*F193*G193*H193*M193,0)</f>
        <v>139.88425384000001</v>
      </c>
      <c r="O193" s="100">
        <f>+IF(D193=0.333,E193*F193*G193*M193,0)</f>
        <v>0</v>
      </c>
      <c r="P193" s="81">
        <f>11.833-I193-M193-J193</f>
        <v>2.8330000000000002</v>
      </c>
      <c r="Q193" s="100">
        <f>+IF(D193=0.667,E193*F193*G193*H193*P193,0)</f>
        <v>99.073022782180018</v>
      </c>
      <c r="R193" s="100">
        <f>+IF(D193=0.333,E193*F193*G193*P193,0)</f>
        <v>0</v>
      </c>
      <c r="S193" s="101">
        <f t="shared" si="612"/>
        <v>343.87046700218002</v>
      </c>
      <c r="T193" s="101">
        <f t="shared" si="613"/>
        <v>0</v>
      </c>
      <c r="U193" s="92"/>
      <c r="V193" s="91"/>
      <c r="W193" s="102"/>
      <c r="X193" s="98"/>
      <c r="Y193" s="102"/>
      <c r="Z193" s="98"/>
      <c r="AA193" s="98"/>
      <c r="AB193" s="98"/>
      <c r="AC193" s="91"/>
      <c r="AD193" s="98"/>
      <c r="AE193" s="98"/>
      <c r="AF193" s="98"/>
      <c r="AG193" s="91"/>
      <c r="AH193" s="692">
        <v>1</v>
      </c>
      <c r="AI193" s="299">
        <f>+AH193*G193*D193*0.17</f>
        <v>5.9450807882000012</v>
      </c>
      <c r="AK193" s="301">
        <f t="shared" si="627"/>
        <v>52.430380000000007</v>
      </c>
      <c r="AL193" s="301">
        <f t="shared" si="615"/>
        <v>0</v>
      </c>
      <c r="AM193" s="301"/>
      <c r="AN193" s="301">
        <f>+IF(D193=0.333,1.33,0)</f>
        <v>0</v>
      </c>
      <c r="AO193" s="299"/>
      <c r="AP193" s="301"/>
      <c r="AQ193" s="301"/>
    </row>
    <row r="194" spans="2:43" ht="20.100000000000001" customHeight="1" x14ac:dyDescent="0.3">
      <c r="B194" s="92"/>
      <c r="C194" s="95" t="s">
        <v>335</v>
      </c>
      <c r="D194" s="98">
        <v>0.66700000000000004</v>
      </c>
      <c r="E194" s="92">
        <v>-1</v>
      </c>
      <c r="F194" s="92">
        <v>1</v>
      </c>
      <c r="G194" s="671">
        <f>4+4</f>
        <v>8</v>
      </c>
      <c r="H194" s="98">
        <f>+D194</f>
        <v>0.66700000000000004</v>
      </c>
      <c r="I194" s="102"/>
      <c r="J194" s="99">
        <v>3</v>
      </c>
      <c r="K194" s="100">
        <f>+IF(D194=0.667,E194*F194*G194*H194*J194,0)</f>
        <v>-16.008000000000003</v>
      </c>
      <c r="L194" s="100">
        <f>+IF(D194=0.333,E194*F194*G194*J194,0)</f>
        <v>0</v>
      </c>
      <c r="M194" s="99">
        <v>4</v>
      </c>
      <c r="N194" s="100">
        <f>+IF(D194=0.667,E194*F194*G194*H194*M194,0)</f>
        <v>-21.344000000000001</v>
      </c>
      <c r="O194" s="100">
        <f>+IF(D194=0.333,E194*F194*G194*M194,0)</f>
        <v>0</v>
      </c>
      <c r="P194" s="99">
        <v>1</v>
      </c>
      <c r="Q194" s="100">
        <f>+IF(D194=0.667,E194*F194*G194*H194*P194,0)</f>
        <v>-5.3360000000000003</v>
      </c>
      <c r="R194" s="100">
        <f>+IF(D194=0.333,E194*F194*G194*P194,0)</f>
        <v>0</v>
      </c>
      <c r="S194" s="101">
        <f t="shared" si="612"/>
        <v>-42.688000000000002</v>
      </c>
      <c r="T194" s="101">
        <f t="shared" si="613"/>
        <v>0</v>
      </c>
      <c r="U194" s="92"/>
      <c r="V194" s="91"/>
      <c r="W194" s="690">
        <f>+G194+D194*2</f>
        <v>9.3339999999999996</v>
      </c>
      <c r="X194" s="690">
        <v>0.5</v>
      </c>
      <c r="Y194" s="690">
        <f>+IF(D194=0.667,-E194*F194*H194*W194*X194,0)</f>
        <v>3.112889</v>
      </c>
      <c r="Z194" s="690">
        <f>+IF(D194=0.333,-E194*F194*H194*W194*X194,0)</f>
        <v>0</v>
      </c>
      <c r="AA194" s="690">
        <f>+F194*G194*H194</f>
        <v>5.3360000000000003</v>
      </c>
      <c r="AB194" s="690">
        <f t="shared" ref="AB194" si="642">2*F194*W194*X194</f>
        <v>9.3339999999999996</v>
      </c>
      <c r="AC194" s="91"/>
      <c r="AD194" s="98"/>
      <c r="AE194" s="98">
        <f>+IF(D194=0.667,AD194*W194*H194*F194,0)</f>
        <v>0</v>
      </c>
      <c r="AF194" s="98">
        <f>+IF(D194=0.333,AD194*W194*H194*F194,0)</f>
        <v>0</v>
      </c>
      <c r="AG194" s="91"/>
      <c r="AH194" s="460"/>
      <c r="AI194" s="299">
        <f>+AH194*G194*D194*0.17</f>
        <v>0</v>
      </c>
      <c r="AK194" s="301">
        <f t="shared" si="627"/>
        <v>-8</v>
      </c>
      <c r="AL194" s="301">
        <f t="shared" si="615"/>
        <v>0</v>
      </c>
      <c r="AM194" s="301">
        <f>+IF(D194=0.667,1.33,0)</f>
        <v>1.33</v>
      </c>
      <c r="AN194" s="301"/>
      <c r="AO194" s="299"/>
      <c r="AP194" s="301"/>
      <c r="AQ194" s="301"/>
    </row>
    <row r="195" spans="2:43" ht="20.100000000000001" customHeight="1" x14ac:dyDescent="0.3">
      <c r="B195" s="369"/>
      <c r="C195" s="395"/>
      <c r="D195" s="371"/>
      <c r="E195" s="369"/>
      <c r="F195" s="369"/>
      <c r="G195" s="371"/>
      <c r="H195" s="371"/>
      <c r="I195" s="372"/>
      <c r="J195" s="371"/>
      <c r="K195" s="371"/>
      <c r="L195" s="371"/>
      <c r="M195" s="371"/>
      <c r="N195" s="371"/>
      <c r="O195" s="371"/>
      <c r="P195" s="371"/>
      <c r="Q195" s="371"/>
      <c r="R195" s="371"/>
      <c r="S195" s="371"/>
      <c r="T195" s="371"/>
      <c r="U195" s="369"/>
      <c r="V195" s="370"/>
      <c r="W195" s="372"/>
      <c r="X195" s="371"/>
      <c r="Y195" s="372"/>
      <c r="Z195" s="371"/>
      <c r="AA195" s="371"/>
      <c r="AB195" s="371"/>
      <c r="AC195" s="370"/>
      <c r="AD195" s="371"/>
      <c r="AE195" s="371"/>
      <c r="AF195" s="371"/>
      <c r="AG195" s="370"/>
      <c r="AH195" s="693"/>
      <c r="AI195" s="372"/>
      <c r="AK195" s="377"/>
      <c r="AL195" s="377"/>
      <c r="AM195" s="377"/>
      <c r="AN195" s="377"/>
      <c r="AO195" s="372"/>
      <c r="AP195" s="377"/>
      <c r="AQ195" s="377"/>
    </row>
    <row r="196" spans="2:43" ht="33" customHeight="1" x14ac:dyDescent="0.3">
      <c r="B196" s="369"/>
      <c r="C196" s="97" t="s">
        <v>556</v>
      </c>
      <c r="D196" s="371"/>
      <c r="E196" s="369"/>
      <c r="F196" s="369"/>
      <c r="G196" s="371"/>
      <c r="H196" s="371"/>
      <c r="I196" s="372"/>
      <c r="J196" s="371"/>
      <c r="K196" s="371"/>
      <c r="L196" s="371"/>
      <c r="M196" s="371"/>
      <c r="N196" s="371"/>
      <c r="O196" s="371"/>
      <c r="P196" s="371"/>
      <c r="Q196" s="371"/>
      <c r="R196" s="371"/>
      <c r="S196" s="371"/>
      <c r="T196" s="371"/>
      <c r="U196" s="369"/>
      <c r="V196" s="370"/>
      <c r="W196" s="372"/>
      <c r="X196" s="371"/>
      <c r="Y196" s="372"/>
      <c r="Z196" s="371"/>
      <c r="AA196" s="371"/>
      <c r="AB196" s="371"/>
      <c r="AC196" s="370"/>
      <c r="AD196" s="371"/>
      <c r="AE196" s="371"/>
      <c r="AF196" s="371"/>
      <c r="AG196" s="370"/>
      <c r="AH196" s="693"/>
      <c r="AI196" s="372"/>
      <c r="AK196" s="377"/>
      <c r="AL196" s="377"/>
      <c r="AM196" s="377"/>
      <c r="AN196" s="377"/>
      <c r="AO196" s="372"/>
      <c r="AP196" s="377"/>
      <c r="AQ196" s="377"/>
    </row>
    <row r="197" spans="2:43" ht="20.100000000000001" customHeight="1" x14ac:dyDescent="0.3">
      <c r="B197" s="92"/>
      <c r="C197" s="95" t="s">
        <v>33</v>
      </c>
      <c r="D197" s="98">
        <v>0.66700000000000004</v>
      </c>
      <c r="E197" s="92">
        <v>1</v>
      </c>
      <c r="F197" s="92">
        <v>1</v>
      </c>
      <c r="G197" s="671">
        <f>(5.82)*3.281</f>
        <v>19.095420000000001</v>
      </c>
      <c r="H197" s="98">
        <f>+D197</f>
        <v>0.66700000000000004</v>
      </c>
      <c r="I197" s="94">
        <v>2</v>
      </c>
      <c r="J197" s="99">
        <v>3</v>
      </c>
      <c r="K197" s="100">
        <f>+IF(D197=0.667,E197*F197*G197*H197*J197,0)</f>
        <v>38.209935420000008</v>
      </c>
      <c r="L197" s="100">
        <f>+IF(D197=0.333,E197*F197*G197*J197,0)</f>
        <v>0</v>
      </c>
      <c r="M197" s="99">
        <v>4</v>
      </c>
      <c r="N197" s="100">
        <f>+IF(D197=0.667,E197*F197*G197*H197*M197,0)</f>
        <v>50.946580560000008</v>
      </c>
      <c r="O197" s="100">
        <f>+IF(D197=0.333,E197*F197*G197*M197,0)</f>
        <v>0</v>
      </c>
      <c r="P197" s="81">
        <f t="shared" ref="P197:P198" si="643">11.833-I197-M197-J197</f>
        <v>2.8330000000000002</v>
      </c>
      <c r="Q197" s="100">
        <f>+IF(D197=0.667,E197*F197*G197*H197*P197,0)</f>
        <v>36.082915681620008</v>
      </c>
      <c r="R197" s="100">
        <f>+IF(D197=0.333,E197*F197*G197*P197,0)</f>
        <v>0</v>
      </c>
      <c r="S197" s="101">
        <f t="shared" ref="S197" si="644">+Q197+N197+K197</f>
        <v>125.23943166162003</v>
      </c>
      <c r="T197" s="101">
        <f t="shared" ref="T197" si="645">+R197+O197+L197</f>
        <v>0</v>
      </c>
      <c r="U197" s="92"/>
      <c r="V197" s="91"/>
      <c r="W197" s="102"/>
      <c r="X197" s="98"/>
      <c r="Y197" s="102"/>
      <c r="Z197" s="98"/>
      <c r="AA197" s="98"/>
      <c r="AB197" s="98"/>
      <c r="AC197" s="91"/>
      <c r="AD197" s="98"/>
      <c r="AE197" s="98"/>
      <c r="AF197" s="98"/>
      <c r="AG197" s="91"/>
      <c r="AH197" s="692">
        <v>1</v>
      </c>
      <c r="AI197" s="299">
        <f>+AH197*G197*D197*0.17</f>
        <v>2.1652296738000003</v>
      </c>
      <c r="AK197" s="301">
        <f t="shared" ref="AK197" si="646">+IF(D197=0.667,E197*F197*G197,0)</f>
        <v>19.095420000000001</v>
      </c>
      <c r="AL197" s="301">
        <f t="shared" ref="AL197" si="647">+IF(D197=0.333,E197*F197*G197,0)</f>
        <v>0</v>
      </c>
      <c r="AM197" s="301"/>
      <c r="AN197" s="301">
        <f>+IF(D197=0.333,1.33,0)</f>
        <v>0</v>
      </c>
      <c r="AO197" s="299"/>
      <c r="AP197" s="301"/>
      <c r="AQ197" s="301"/>
    </row>
    <row r="198" spans="2:43" ht="20.100000000000001" customHeight="1" x14ac:dyDescent="0.3">
      <c r="B198" s="92"/>
      <c r="C198" s="95" t="s">
        <v>32</v>
      </c>
      <c r="D198" s="98">
        <v>0.66700000000000004</v>
      </c>
      <c r="E198" s="92">
        <v>1</v>
      </c>
      <c r="F198" s="92">
        <v>1</v>
      </c>
      <c r="G198" s="671">
        <f>(5.62)*3.281</f>
        <v>18.439220000000002</v>
      </c>
      <c r="H198" s="98">
        <f>+D198</f>
        <v>0.66700000000000004</v>
      </c>
      <c r="I198" s="94">
        <v>2</v>
      </c>
      <c r="J198" s="99">
        <v>3</v>
      </c>
      <c r="K198" s="100">
        <f>+IF(D198=0.667,E198*F198*G198*H198*J198,0)</f>
        <v>36.89687922000001</v>
      </c>
      <c r="L198" s="100">
        <f>+IF(D198=0.333,E198*F198*G198*J198,0)</f>
        <v>0</v>
      </c>
      <c r="M198" s="99">
        <v>4</v>
      </c>
      <c r="N198" s="100">
        <f>+IF(D198=0.667,E198*F198*G198*H198*M198,0)</f>
        <v>49.19583896000001</v>
      </c>
      <c r="O198" s="100">
        <f>+IF(D198=0.333,E198*F198*G198*M198,0)</f>
        <v>0</v>
      </c>
      <c r="P198" s="81">
        <f t="shared" si="643"/>
        <v>2.8330000000000002</v>
      </c>
      <c r="Q198" s="100">
        <f>+IF(D198=0.667,E198*F198*G198*H198*P198,0)</f>
        <v>34.842952943420009</v>
      </c>
      <c r="R198" s="100">
        <f>+IF(D198=0.333,E198*F198*G198*P198,0)</f>
        <v>0</v>
      </c>
      <c r="S198" s="101">
        <f t="shared" ref="S198:S199" si="648">+Q198+N198+K198</f>
        <v>120.93567112342004</v>
      </c>
      <c r="T198" s="101">
        <f t="shared" ref="T198:T199" si="649">+R198+O198+L198</f>
        <v>0</v>
      </c>
      <c r="U198" s="92"/>
      <c r="V198" s="91"/>
      <c r="W198" s="102"/>
      <c r="X198" s="98"/>
      <c r="Y198" s="102"/>
      <c r="Z198" s="98"/>
      <c r="AA198" s="98"/>
      <c r="AB198" s="98"/>
      <c r="AC198" s="91"/>
      <c r="AD198" s="98"/>
      <c r="AE198" s="98"/>
      <c r="AF198" s="98"/>
      <c r="AG198" s="91"/>
      <c r="AH198" s="692">
        <v>1</v>
      </c>
      <c r="AI198" s="299">
        <f>+AH198*G198*D198*0.17</f>
        <v>2.0908231558000008</v>
      </c>
      <c r="AK198" s="301">
        <f t="shared" ref="AK198:AK199" si="650">+IF(D198=0.667,E198*F198*G198,0)</f>
        <v>18.439220000000002</v>
      </c>
      <c r="AL198" s="301">
        <f t="shared" ref="AL198:AL199" si="651">+IF(D198=0.333,E198*F198*G198,0)</f>
        <v>0</v>
      </c>
      <c r="AM198" s="301"/>
      <c r="AN198" s="301">
        <f>+IF(D198=0.333,1.33,0)</f>
        <v>0</v>
      </c>
      <c r="AO198" s="299"/>
      <c r="AP198" s="301"/>
      <c r="AQ198" s="301"/>
    </row>
    <row r="199" spans="2:43" ht="20.100000000000001" customHeight="1" x14ac:dyDescent="0.3">
      <c r="B199" s="18"/>
      <c r="C199" s="62" t="s">
        <v>35</v>
      </c>
      <c r="D199" s="98">
        <v>0.66700000000000004</v>
      </c>
      <c r="E199" s="18">
        <v>-1</v>
      </c>
      <c r="F199" s="702">
        <v>1</v>
      </c>
      <c r="G199" s="674">
        <v>3.25</v>
      </c>
      <c r="H199" s="20">
        <f t="shared" ref="H199" si="652">+D199</f>
        <v>0.66700000000000004</v>
      </c>
      <c r="I199" s="21"/>
      <c r="J199" s="81">
        <v>3</v>
      </c>
      <c r="K199" s="103">
        <f t="shared" ref="K199" si="653">+IF(D199=0.667,E199*F199*G199*H199*J199,0)</f>
        <v>-6.5032500000000013</v>
      </c>
      <c r="L199" s="103">
        <f t="shared" ref="L199" si="654">+IF(D199=0.333,E199*F199*G199*J199,0)</f>
        <v>0</v>
      </c>
      <c r="M199" s="81">
        <v>4</v>
      </c>
      <c r="N199" s="103">
        <f t="shared" ref="N199" si="655">+IF(D199=0.667,E199*F199*G199*H199*M199,0)</f>
        <v>-8.6710000000000012</v>
      </c>
      <c r="O199" s="103">
        <f t="shared" ref="O199" si="656">+IF(D199=0.333,E199*F199*G199*M199,0)</f>
        <v>0</v>
      </c>
      <c r="P199" s="81"/>
      <c r="Q199" s="103">
        <f t="shared" ref="Q199" si="657">+IF(D199=0.667,E199*F199*G199*H199*P199,0)</f>
        <v>0</v>
      </c>
      <c r="R199" s="103">
        <f t="shared" ref="R199" si="658">+IF(D199=0.333,E199*F199*G199*P199,0)</f>
        <v>0</v>
      </c>
      <c r="S199" s="104">
        <f t="shared" si="648"/>
        <v>-15.174250000000002</v>
      </c>
      <c r="T199" s="104">
        <f t="shared" si="649"/>
        <v>0</v>
      </c>
      <c r="U199" s="18"/>
      <c r="V199" s="26"/>
      <c r="W199" s="225">
        <f>+G199+D199</f>
        <v>3.9169999999999998</v>
      </c>
      <c r="X199" s="225">
        <v>0.5</v>
      </c>
      <c r="Y199" s="225">
        <f>+IF(D199=0.667,-E199*F199*H199*W199*X199,0)</f>
        <v>1.3063195000000001</v>
      </c>
      <c r="Z199" s="225">
        <f>+IF(D199=0.333,-E199*F199*H199*W199*X199,0)</f>
        <v>0</v>
      </c>
      <c r="AA199" s="225">
        <f>+F199*G199*H199</f>
        <v>2.1677500000000003</v>
      </c>
      <c r="AB199" s="225">
        <f t="shared" ref="AB199" si="659">2*F199*W199*X199</f>
        <v>3.9169999999999998</v>
      </c>
      <c r="AC199" s="27"/>
      <c r="AD199" s="21"/>
      <c r="AE199" s="21">
        <f t="shared" ref="AE199" si="660">+IF(D199=0.667,AD199*W199*H199*F199,0)</f>
        <v>0</v>
      </c>
      <c r="AF199" s="21">
        <f t="shared" ref="AF199" si="661">+IF(D199=0.333,AD199*W199*H199*F199,0)</f>
        <v>0</v>
      </c>
      <c r="AG199" s="27"/>
      <c r="AH199" s="396"/>
      <c r="AI199" s="21">
        <f t="shared" ref="AI199" si="662">+AH199*G199*D199*0.17</f>
        <v>0</v>
      </c>
      <c r="AK199" s="301">
        <f t="shared" si="650"/>
        <v>-3.25</v>
      </c>
      <c r="AL199" s="301">
        <f t="shared" si="651"/>
        <v>0</v>
      </c>
      <c r="AM199" s="301">
        <f>+IF(D199=0.667,1.33,0)</f>
        <v>1.33</v>
      </c>
      <c r="AN199" s="301">
        <f>+IF(D199=0.333,1.33,0)</f>
        <v>0</v>
      </c>
      <c r="AO199" s="299"/>
      <c r="AP199" s="301"/>
      <c r="AQ199" s="301"/>
    </row>
    <row r="200" spans="2:43" ht="20.100000000000001" customHeight="1" x14ac:dyDescent="0.3">
      <c r="B200" s="92"/>
      <c r="C200" s="95" t="s">
        <v>43</v>
      </c>
      <c r="D200" s="98">
        <v>0.66700000000000004</v>
      </c>
      <c r="E200" s="92">
        <v>1</v>
      </c>
      <c r="F200" s="92">
        <v>1</v>
      </c>
      <c r="G200" s="671">
        <f>(4.2+1.1)*3.281</f>
        <v>17.389300000000002</v>
      </c>
      <c r="H200" s="98">
        <f>+D200</f>
        <v>0.66700000000000004</v>
      </c>
      <c r="I200" s="94">
        <v>2</v>
      </c>
      <c r="J200" s="99">
        <v>3</v>
      </c>
      <c r="K200" s="100">
        <f>+IF(D200=0.667,E200*F200*G200*H200*J200,0)</f>
        <v>34.795989300000002</v>
      </c>
      <c r="L200" s="100">
        <f>+IF(D200=0.333,E200*F200*G200*J200,0)</f>
        <v>0</v>
      </c>
      <c r="M200" s="99">
        <v>4</v>
      </c>
      <c r="N200" s="100">
        <f>+IF(D200=0.667,E200*F200*G200*H200*M200,0)</f>
        <v>46.394652400000005</v>
      </c>
      <c r="O200" s="100">
        <f>+IF(D200=0.333,E200*F200*G200*M200,0)</f>
        <v>0</v>
      </c>
      <c r="P200" s="81">
        <f t="shared" ref="P200:P201" si="663">11.833-I200-M200-J200</f>
        <v>2.8330000000000002</v>
      </c>
      <c r="Q200" s="100">
        <f>+IF(D200=0.667,E200*F200*G200*H200*P200,0)</f>
        <v>32.859012562300009</v>
      </c>
      <c r="R200" s="100">
        <f>+IF(D200=0.333,E200*F200*G200*P200,0)</f>
        <v>0</v>
      </c>
      <c r="S200" s="101">
        <f t="shared" ref="S200:S201" si="664">+Q200+N200+K200</f>
        <v>114.04965426230001</v>
      </c>
      <c r="T200" s="101">
        <f t="shared" ref="T200:T201" si="665">+R200+O200+L200</f>
        <v>0</v>
      </c>
      <c r="U200" s="92"/>
      <c r="V200" s="91"/>
      <c r="W200" s="102"/>
      <c r="X200" s="98"/>
      <c r="Y200" s="102"/>
      <c r="Z200" s="98"/>
      <c r="AA200" s="98"/>
      <c r="AB200" s="98"/>
      <c r="AC200" s="91"/>
      <c r="AD200" s="98"/>
      <c r="AE200" s="98"/>
      <c r="AF200" s="98"/>
      <c r="AG200" s="91"/>
      <c r="AH200" s="692">
        <v>1</v>
      </c>
      <c r="AI200" s="299">
        <f>+AH200*G200*D200*0.17</f>
        <v>1.9717727270000003</v>
      </c>
      <c r="AK200" s="301">
        <f t="shared" ref="AK200:AK201" si="666">+IF(D200=0.667,E200*F200*G200,0)</f>
        <v>17.389300000000002</v>
      </c>
      <c r="AL200" s="301">
        <f t="shared" ref="AL200:AL201" si="667">+IF(D200=0.333,E200*F200*G200,0)</f>
        <v>0</v>
      </c>
      <c r="AM200" s="301"/>
      <c r="AN200" s="301">
        <f>+IF(D200=0.333,1.33,0)</f>
        <v>0</v>
      </c>
      <c r="AO200" s="299"/>
      <c r="AP200" s="301"/>
      <c r="AQ200" s="301"/>
    </row>
    <row r="201" spans="2:43" ht="20.100000000000001" customHeight="1" x14ac:dyDescent="0.3">
      <c r="B201" s="92"/>
      <c r="C201" s="95" t="s">
        <v>38</v>
      </c>
      <c r="D201" s="98">
        <v>0.66700000000000004</v>
      </c>
      <c r="E201" s="92">
        <v>1</v>
      </c>
      <c r="F201" s="92">
        <v>1</v>
      </c>
      <c r="G201" s="671">
        <f>(4.57)*3.281</f>
        <v>14.994170000000002</v>
      </c>
      <c r="H201" s="98">
        <f>+D201</f>
        <v>0.66700000000000004</v>
      </c>
      <c r="I201" s="94">
        <v>2</v>
      </c>
      <c r="J201" s="99">
        <v>3</v>
      </c>
      <c r="K201" s="100">
        <f>+IF(D201=0.667,E201*F201*G201*H201*J201,0)</f>
        <v>30.003334170000006</v>
      </c>
      <c r="L201" s="100">
        <f>+IF(D201=0.333,E201*F201*G201*J201,0)</f>
        <v>0</v>
      </c>
      <c r="M201" s="99">
        <v>4</v>
      </c>
      <c r="N201" s="100">
        <f>+IF(D201=0.667,E201*F201*G201*H201*M201,0)</f>
        <v>40.004445560000008</v>
      </c>
      <c r="O201" s="100">
        <f>+IF(D201=0.333,E201*F201*G201*M201,0)</f>
        <v>0</v>
      </c>
      <c r="P201" s="81">
        <f t="shared" si="663"/>
        <v>2.8330000000000002</v>
      </c>
      <c r="Q201" s="100">
        <f>+IF(D201=0.667,E201*F201*G201*H201*P201,0)</f>
        <v>28.333148567870008</v>
      </c>
      <c r="R201" s="100">
        <f>+IF(D201=0.333,E201*F201*G201*P201,0)</f>
        <v>0</v>
      </c>
      <c r="S201" s="101">
        <f t="shared" si="664"/>
        <v>98.340928297870022</v>
      </c>
      <c r="T201" s="101">
        <f t="shared" si="665"/>
        <v>0</v>
      </c>
      <c r="U201" s="92"/>
      <c r="V201" s="91"/>
      <c r="W201" s="102"/>
      <c r="X201" s="98"/>
      <c r="Y201" s="102"/>
      <c r="Z201" s="98"/>
      <c r="AA201" s="98"/>
      <c r="AB201" s="98"/>
      <c r="AC201" s="91"/>
      <c r="AD201" s="98"/>
      <c r="AE201" s="98"/>
      <c r="AF201" s="98"/>
      <c r="AG201" s="91"/>
      <c r="AH201" s="692">
        <v>1</v>
      </c>
      <c r="AI201" s="299">
        <f>+AH201*G201*D201*0.17</f>
        <v>1.7001889363000005</v>
      </c>
      <c r="AK201" s="301">
        <f t="shared" si="666"/>
        <v>14.994170000000002</v>
      </c>
      <c r="AL201" s="301">
        <f t="shared" si="667"/>
        <v>0</v>
      </c>
      <c r="AM201" s="301"/>
      <c r="AN201" s="301">
        <f>+IF(D201=0.333,1.33,0)</f>
        <v>0</v>
      </c>
      <c r="AO201" s="299"/>
      <c r="AP201" s="301"/>
      <c r="AQ201" s="301"/>
    </row>
    <row r="202" spans="2:43" ht="20.100000000000001" customHeight="1" x14ac:dyDescent="0.3">
      <c r="B202" s="369"/>
      <c r="C202" s="395"/>
      <c r="D202" s="371"/>
      <c r="E202" s="369"/>
      <c r="F202" s="369"/>
      <c r="G202" s="371"/>
      <c r="H202" s="371"/>
      <c r="I202" s="372"/>
      <c r="J202" s="371"/>
      <c r="K202" s="371"/>
      <c r="L202" s="371"/>
      <c r="M202" s="371"/>
      <c r="N202" s="371"/>
      <c r="O202" s="371"/>
      <c r="P202" s="371"/>
      <c r="Q202" s="371"/>
      <c r="R202" s="371"/>
      <c r="S202" s="371"/>
      <c r="T202" s="371"/>
      <c r="U202" s="369"/>
      <c r="V202" s="370"/>
      <c r="W202" s="372"/>
      <c r="X202" s="371"/>
      <c r="Y202" s="372"/>
      <c r="Z202" s="371"/>
      <c r="AA202" s="371"/>
      <c r="AB202" s="371"/>
      <c r="AC202" s="370"/>
      <c r="AD202" s="371"/>
      <c r="AE202" s="371"/>
      <c r="AF202" s="371"/>
      <c r="AG202" s="370"/>
      <c r="AH202" s="693"/>
      <c r="AI202" s="372"/>
      <c r="AK202" s="377"/>
      <c r="AL202" s="377"/>
      <c r="AM202" s="377"/>
      <c r="AN202" s="377"/>
      <c r="AO202" s="372"/>
      <c r="AP202" s="377"/>
      <c r="AQ202" s="377"/>
    </row>
    <row r="203" spans="2:43" ht="20.100000000000001" customHeight="1" x14ac:dyDescent="0.3">
      <c r="B203" s="369"/>
      <c r="C203" s="97" t="s">
        <v>363</v>
      </c>
      <c r="D203" s="371"/>
      <c r="E203" s="369"/>
      <c r="F203" s="369"/>
      <c r="G203" s="371"/>
      <c r="H203" s="371"/>
      <c r="I203" s="372"/>
      <c r="J203" s="371"/>
      <c r="K203" s="371"/>
      <c r="L203" s="371"/>
      <c r="M203" s="371"/>
      <c r="N203" s="371"/>
      <c r="O203" s="371"/>
      <c r="P203" s="371"/>
      <c r="Q203" s="371"/>
      <c r="R203" s="371"/>
      <c r="S203" s="371"/>
      <c r="T203" s="371"/>
      <c r="U203" s="369"/>
      <c r="V203" s="370"/>
      <c r="W203" s="372"/>
      <c r="X203" s="371"/>
      <c r="Y203" s="372"/>
      <c r="Z203" s="371"/>
      <c r="AA203" s="371"/>
      <c r="AB203" s="371"/>
      <c r="AC203" s="370"/>
      <c r="AD203" s="371"/>
      <c r="AE203" s="371"/>
      <c r="AF203" s="371"/>
      <c r="AG203" s="370"/>
      <c r="AH203" s="693"/>
      <c r="AI203" s="372"/>
      <c r="AK203" s="377"/>
      <c r="AL203" s="377"/>
      <c r="AM203" s="377"/>
      <c r="AN203" s="377"/>
      <c r="AO203" s="372"/>
      <c r="AP203" s="377"/>
      <c r="AQ203" s="377"/>
    </row>
    <row r="204" spans="2:43" ht="20.100000000000001" customHeight="1" x14ac:dyDescent="0.3">
      <c r="B204" s="92"/>
      <c r="C204" s="95" t="s">
        <v>31</v>
      </c>
      <c r="D204" s="98">
        <v>0.66700000000000004</v>
      </c>
      <c r="E204" s="415">
        <f>1*0</f>
        <v>0</v>
      </c>
      <c r="F204" s="415">
        <f>1*0</f>
        <v>0</v>
      </c>
      <c r="G204" s="98">
        <f>(4.607)*3.281</f>
        <v>15.115567000000002</v>
      </c>
      <c r="H204" s="98">
        <f>+D204</f>
        <v>0.66700000000000004</v>
      </c>
      <c r="I204" s="94">
        <v>2</v>
      </c>
      <c r="J204" s="99">
        <v>3</v>
      </c>
      <c r="K204" s="100">
        <f>+IF(D204=0.667,E204*F204*G204*H204*J204,0)</f>
        <v>0</v>
      </c>
      <c r="L204" s="100">
        <f>+IF(D204=0.333,E204*F204*G204*J204,0)</f>
        <v>0</v>
      </c>
      <c r="M204" s="99">
        <v>4</v>
      </c>
      <c r="N204" s="100">
        <f>+IF(D204=0.667,E204*F204*G204*H204*M204,0)</f>
        <v>0</v>
      </c>
      <c r="O204" s="100">
        <f>+IF(D204=0.333,E204*F204*G204*M204,0)</f>
        <v>0</v>
      </c>
      <c r="P204" s="81">
        <f>11.833-I204-M204-J204</f>
        <v>2.8330000000000002</v>
      </c>
      <c r="Q204" s="100">
        <f>+IF(D204=0.667,E204*F204*G204*H204*P204,0)</f>
        <v>0</v>
      </c>
      <c r="R204" s="100">
        <f>+IF(D204=0.333,E204*F204*G204*P204,0)</f>
        <v>0</v>
      </c>
      <c r="S204" s="101">
        <f t="shared" ref="S204:S205" si="668">+Q204+N204+K204</f>
        <v>0</v>
      </c>
      <c r="T204" s="101">
        <f t="shared" ref="T204:T205" si="669">+R204+O204+L204</f>
        <v>0</v>
      </c>
      <c r="U204" s="92"/>
      <c r="V204" s="91"/>
      <c r="W204" s="102"/>
      <c r="X204" s="98"/>
      <c r="Y204" s="102"/>
      <c r="Z204" s="98"/>
      <c r="AA204" s="98"/>
      <c r="AB204" s="98"/>
      <c r="AC204" s="91"/>
      <c r="AD204" s="98"/>
      <c r="AE204" s="98"/>
      <c r="AF204" s="98"/>
      <c r="AG204" s="91"/>
      <c r="AH204" s="415">
        <f>1*0</f>
        <v>0</v>
      </c>
      <c r="AI204" s="299">
        <f>+AH204*G204*D204*0.17</f>
        <v>0</v>
      </c>
      <c r="AK204" s="301">
        <f t="shared" ref="AK204:AK216" si="670">+IF(D204=0.667,E204*F204*G204,0)</f>
        <v>0</v>
      </c>
      <c r="AL204" s="301">
        <f t="shared" ref="AL204" si="671">+IF(D204=0.333,E204*F204*G204,0)</f>
        <v>0</v>
      </c>
      <c r="AM204" s="301"/>
      <c r="AN204" s="301">
        <f>+IF(D204=0.333,1.33,0)</f>
        <v>0</v>
      </c>
      <c r="AO204" s="299"/>
      <c r="AP204" s="301"/>
      <c r="AQ204" s="301"/>
    </row>
    <row r="205" spans="2:43" ht="20.100000000000001" customHeight="1" x14ac:dyDescent="0.3">
      <c r="B205" s="18"/>
      <c r="C205" s="62" t="s">
        <v>48</v>
      </c>
      <c r="D205" s="298">
        <v>0.66700000000000004</v>
      </c>
      <c r="E205" s="415">
        <f>-1*0</f>
        <v>0</v>
      </c>
      <c r="F205" s="415">
        <f t="shared" ref="F205:F216" si="672">1*0</f>
        <v>0</v>
      </c>
      <c r="G205" s="20">
        <v>5</v>
      </c>
      <c r="H205" s="20">
        <f t="shared" ref="H205" si="673">+D205</f>
        <v>0.66700000000000004</v>
      </c>
      <c r="I205" s="21"/>
      <c r="J205" s="81"/>
      <c r="K205" s="103">
        <f t="shared" ref="K205" si="674">+IF(D205=0.667,E205*F205*G205*H205*J205,0)</f>
        <v>0</v>
      </c>
      <c r="L205" s="103">
        <f t="shared" ref="L205" si="675">+IF(D205=0.333,E205*F205*G205*J205,0)</f>
        <v>0</v>
      </c>
      <c r="M205" s="81">
        <v>2.25</v>
      </c>
      <c r="N205" s="103">
        <f t="shared" ref="N205" si="676">+IF(D205=0.667,E205*F205*G205*H205*M205,0)</f>
        <v>0</v>
      </c>
      <c r="O205" s="103">
        <f t="shared" ref="O205" si="677">+IF(D205=0.333,E205*F205*G205*M205,0)</f>
        <v>0</v>
      </c>
      <c r="P205" s="81"/>
      <c r="Q205" s="103">
        <f t="shared" ref="Q205" si="678">+IF(D205=0.667,E205*F205*G205*H205*P205,0)</f>
        <v>0</v>
      </c>
      <c r="R205" s="103">
        <f t="shared" ref="R205" si="679">+IF(D205=0.333,E205*F205*G205*P205,0)</f>
        <v>0</v>
      </c>
      <c r="S205" s="104">
        <f t="shared" si="668"/>
        <v>0</v>
      </c>
      <c r="T205" s="104">
        <f t="shared" si="669"/>
        <v>0</v>
      </c>
      <c r="U205" s="18"/>
      <c r="V205" s="26"/>
      <c r="W205" s="225">
        <f>+G205+D205</f>
        <v>5.6669999999999998</v>
      </c>
      <c r="X205" s="225">
        <v>0.5</v>
      </c>
      <c r="Y205" s="225">
        <f>+IF(D205=0.667,-E205*F205*H205*W205*X205,0)</f>
        <v>0</v>
      </c>
      <c r="Z205" s="225">
        <f>+IF(D205=0.333,-E205*F205*H205*W205*X205,0)</f>
        <v>0</v>
      </c>
      <c r="AA205" s="225">
        <f>+F205*G205*H205</f>
        <v>0</v>
      </c>
      <c r="AB205" s="225">
        <f t="shared" ref="AB205" si="680">2*F205*W205*X205</f>
        <v>0</v>
      </c>
      <c r="AC205" s="27"/>
      <c r="AD205" s="21">
        <v>0.16700000000000001</v>
      </c>
      <c r="AE205" s="21">
        <f t="shared" ref="AE205" si="681">+IF(D205=0.667,AD205*W205*H205*F205,0)</f>
        <v>0</v>
      </c>
      <c r="AF205" s="21">
        <f t="shared" ref="AF205" si="682">+IF(D205=0.333,AD205*W205*H205*F205,0)</f>
        <v>0</v>
      </c>
      <c r="AG205" s="27"/>
      <c r="AH205" s="396"/>
      <c r="AI205" s="21">
        <f t="shared" ref="AI205" si="683">+AH205*G205*D205*0.17</f>
        <v>0</v>
      </c>
      <c r="AK205" s="301">
        <f t="shared" si="670"/>
        <v>0</v>
      </c>
      <c r="AL205" s="301"/>
      <c r="AM205" s="301"/>
      <c r="AN205" s="301"/>
      <c r="AO205" s="299"/>
      <c r="AP205" s="301"/>
      <c r="AQ205" s="301"/>
    </row>
    <row r="206" spans="2:43" ht="20.100000000000001" customHeight="1" x14ac:dyDescent="0.3">
      <c r="B206" s="92"/>
      <c r="C206" s="95" t="s">
        <v>32</v>
      </c>
      <c r="D206" s="98">
        <v>0.66700000000000004</v>
      </c>
      <c r="E206" s="415">
        <f>1*0</f>
        <v>0</v>
      </c>
      <c r="F206" s="415">
        <f t="shared" si="672"/>
        <v>0</v>
      </c>
      <c r="G206" s="98">
        <f>(3.079)*3.281</f>
        <v>10.102199000000001</v>
      </c>
      <c r="H206" s="98">
        <f>+D206</f>
        <v>0.66700000000000004</v>
      </c>
      <c r="I206" s="94">
        <v>2</v>
      </c>
      <c r="J206" s="99">
        <v>3</v>
      </c>
      <c r="K206" s="100">
        <f>+IF(D206=0.667,E206*F206*G206*H206*J206,0)</f>
        <v>0</v>
      </c>
      <c r="L206" s="100">
        <f>+IF(D206=0.333,E206*F206*G206*J206,0)</f>
        <v>0</v>
      </c>
      <c r="M206" s="99">
        <v>4</v>
      </c>
      <c r="N206" s="100">
        <f>+IF(D206=0.667,E206*F206*G206*H206*M206,0)</f>
        <v>0</v>
      </c>
      <c r="O206" s="100">
        <f>+IF(D206=0.333,E206*F206*G206*M206,0)</f>
        <v>0</v>
      </c>
      <c r="P206" s="81">
        <f>11.833-I206-M206-J206</f>
        <v>2.8330000000000002</v>
      </c>
      <c r="Q206" s="100">
        <f>+IF(D206=0.667,E206*F206*G206*H206*P206,0)</f>
        <v>0</v>
      </c>
      <c r="R206" s="100">
        <f>+IF(D206=0.333,E206*F206*G206*P206,0)</f>
        <v>0</v>
      </c>
      <c r="S206" s="101">
        <f t="shared" ref="S206:S207" si="684">+Q206+N206+K206</f>
        <v>0</v>
      </c>
      <c r="T206" s="101">
        <f t="shared" ref="T206:T207" si="685">+R206+O206+L206</f>
        <v>0</v>
      </c>
      <c r="U206" s="92"/>
      <c r="V206" s="91"/>
      <c r="W206" s="102"/>
      <c r="X206" s="98"/>
      <c r="Y206" s="102"/>
      <c r="Z206" s="98"/>
      <c r="AA206" s="98"/>
      <c r="AB206" s="98"/>
      <c r="AC206" s="91"/>
      <c r="AD206" s="98"/>
      <c r="AE206" s="98"/>
      <c r="AF206" s="98"/>
      <c r="AG206" s="91"/>
      <c r="AH206" s="415">
        <f>1*0</f>
        <v>0</v>
      </c>
      <c r="AI206" s="299">
        <f>+AH206*G206*D206*0.17</f>
        <v>0</v>
      </c>
      <c r="AK206" s="301">
        <f t="shared" si="670"/>
        <v>0</v>
      </c>
      <c r="AL206" s="301">
        <f t="shared" ref="AL206" si="686">+IF(D206=0.333,E206*F206*G206,0)</f>
        <v>0</v>
      </c>
      <c r="AM206" s="301"/>
      <c r="AN206" s="301">
        <f>+IF(D206=0.333,1.33,0)</f>
        <v>0</v>
      </c>
      <c r="AO206" s="299"/>
      <c r="AP206" s="301"/>
      <c r="AQ206" s="301"/>
    </row>
    <row r="207" spans="2:43" ht="20.100000000000001" customHeight="1" x14ac:dyDescent="0.3">
      <c r="B207" s="18"/>
      <c r="C207" s="62" t="s">
        <v>48</v>
      </c>
      <c r="D207" s="298">
        <v>0.66700000000000004</v>
      </c>
      <c r="E207" s="415">
        <f>-1*0</f>
        <v>0</v>
      </c>
      <c r="F207" s="415">
        <f t="shared" si="672"/>
        <v>0</v>
      </c>
      <c r="G207" s="20">
        <v>5</v>
      </c>
      <c r="H207" s="20">
        <f t="shared" ref="H207" si="687">+D207</f>
        <v>0.66700000000000004</v>
      </c>
      <c r="I207" s="21"/>
      <c r="J207" s="81"/>
      <c r="K207" s="103">
        <f t="shared" ref="K207" si="688">+IF(D207=0.667,E207*F207*G207*H207*J207,0)</f>
        <v>0</v>
      </c>
      <c r="L207" s="103">
        <f t="shared" ref="L207" si="689">+IF(D207=0.333,E207*F207*G207*J207,0)</f>
        <v>0</v>
      </c>
      <c r="M207" s="81">
        <v>2.25</v>
      </c>
      <c r="N207" s="103">
        <f t="shared" ref="N207" si="690">+IF(D207=0.667,E207*F207*G207*H207*M207,0)</f>
        <v>0</v>
      </c>
      <c r="O207" s="103">
        <f t="shared" ref="O207" si="691">+IF(D207=0.333,E207*F207*G207*M207,0)</f>
        <v>0</v>
      </c>
      <c r="P207" s="81"/>
      <c r="Q207" s="103">
        <f t="shared" ref="Q207" si="692">+IF(D207=0.667,E207*F207*G207*H207*P207,0)</f>
        <v>0</v>
      </c>
      <c r="R207" s="103">
        <f t="shared" ref="R207" si="693">+IF(D207=0.333,E207*F207*G207*P207,0)</f>
        <v>0</v>
      </c>
      <c r="S207" s="104">
        <f t="shared" si="684"/>
        <v>0</v>
      </c>
      <c r="T207" s="104">
        <f t="shared" si="685"/>
        <v>0</v>
      </c>
      <c r="U207" s="18"/>
      <c r="V207" s="26"/>
      <c r="W207" s="225">
        <f>+G207+D207</f>
        <v>5.6669999999999998</v>
      </c>
      <c r="X207" s="225">
        <v>0.5</v>
      </c>
      <c r="Y207" s="225">
        <f>+IF(D207=0.667,-E207*F207*H207*W207*X207,0)</f>
        <v>0</v>
      </c>
      <c r="Z207" s="225">
        <f>+IF(D207=0.333,-E207*F207*H207*W207*X207,0)</f>
        <v>0</v>
      </c>
      <c r="AA207" s="225">
        <f>+F207*G207*H207</f>
        <v>0</v>
      </c>
      <c r="AB207" s="225">
        <f t="shared" ref="AB207" si="694">2*F207*W207*X207</f>
        <v>0</v>
      </c>
      <c r="AC207" s="27"/>
      <c r="AD207" s="21">
        <v>0.16700000000000001</v>
      </c>
      <c r="AE207" s="21">
        <f t="shared" ref="AE207" si="695">+IF(D207=0.667,AD207*W207*H207*F207,0)</f>
        <v>0</v>
      </c>
      <c r="AF207" s="21">
        <f t="shared" ref="AF207" si="696">+IF(D207=0.333,AD207*W207*H207*F207,0)</f>
        <v>0</v>
      </c>
      <c r="AG207" s="27"/>
      <c r="AH207" s="396"/>
      <c r="AI207" s="21">
        <f t="shared" ref="AI207" si="697">+AH207*G207*D207*0.17</f>
        <v>0</v>
      </c>
      <c r="AK207" s="301">
        <f t="shared" si="670"/>
        <v>0</v>
      </c>
      <c r="AL207" s="301"/>
      <c r="AM207" s="301"/>
      <c r="AN207" s="301"/>
      <c r="AO207" s="299"/>
      <c r="AP207" s="301"/>
      <c r="AQ207" s="301"/>
    </row>
    <row r="208" spans="2:43" ht="20.100000000000001" customHeight="1" x14ac:dyDescent="0.3">
      <c r="B208" s="92"/>
      <c r="C208" s="95" t="s">
        <v>43</v>
      </c>
      <c r="D208" s="98">
        <v>0.66700000000000004</v>
      </c>
      <c r="E208" s="415">
        <f>1*0</f>
        <v>0</v>
      </c>
      <c r="F208" s="415">
        <f t="shared" si="672"/>
        <v>0</v>
      </c>
      <c r="G208" s="98">
        <f>(1.425+2.61+1.625)*3.281</f>
        <v>18.570460000000001</v>
      </c>
      <c r="H208" s="98">
        <f>+D208</f>
        <v>0.66700000000000004</v>
      </c>
      <c r="I208" s="94">
        <v>2</v>
      </c>
      <c r="J208" s="99">
        <v>3</v>
      </c>
      <c r="K208" s="100">
        <f>+IF(D208=0.667,E208*F208*G208*H208*J208,0)</f>
        <v>0</v>
      </c>
      <c r="L208" s="100">
        <f>+IF(D208=0.333,E208*F208*G208*J208,0)</f>
        <v>0</v>
      </c>
      <c r="M208" s="99">
        <v>4</v>
      </c>
      <c r="N208" s="100">
        <f>+IF(D208=0.667,E208*F208*G208*H208*M208,0)</f>
        <v>0</v>
      </c>
      <c r="O208" s="100">
        <f>+IF(D208=0.333,E208*F208*G208*M208,0)</f>
        <v>0</v>
      </c>
      <c r="P208" s="81">
        <f>11.833-I208-M208-J208</f>
        <v>2.8330000000000002</v>
      </c>
      <c r="Q208" s="100">
        <f>+IF(D208=0.667,E208*F208*G208*H208*P208,0)</f>
        <v>0</v>
      </c>
      <c r="R208" s="100">
        <f>+IF(D208=0.333,E208*F208*G208*P208,0)</f>
        <v>0</v>
      </c>
      <c r="S208" s="101">
        <f t="shared" ref="S208:S216" si="698">+Q208+N208+K208</f>
        <v>0</v>
      </c>
      <c r="T208" s="101">
        <f t="shared" ref="T208:T216" si="699">+R208+O208+L208</f>
        <v>0</v>
      </c>
      <c r="U208" s="92"/>
      <c r="V208" s="91"/>
      <c r="W208" s="102"/>
      <c r="X208" s="98"/>
      <c r="Y208" s="102"/>
      <c r="Z208" s="98"/>
      <c r="AA208" s="98"/>
      <c r="AB208" s="98"/>
      <c r="AC208" s="91"/>
      <c r="AD208" s="98"/>
      <c r="AE208" s="98"/>
      <c r="AF208" s="98"/>
      <c r="AG208" s="91"/>
      <c r="AH208" s="415">
        <f>1*0</f>
        <v>0</v>
      </c>
      <c r="AI208" s="299">
        <f>+AH208*G208*D208*0.17</f>
        <v>0</v>
      </c>
      <c r="AK208" s="301">
        <f t="shared" si="670"/>
        <v>0</v>
      </c>
      <c r="AL208" s="301">
        <f t="shared" ref="AL208" si="700">+IF(D208=0.333,E208*F208*G208,0)</f>
        <v>0</v>
      </c>
      <c r="AM208" s="301"/>
      <c r="AN208" s="301">
        <f>+IF(D208=0.333,1.33,0)</f>
        <v>0</v>
      </c>
      <c r="AO208" s="299"/>
      <c r="AP208" s="301"/>
      <c r="AQ208" s="301"/>
    </row>
    <row r="209" spans="2:43" ht="20.100000000000001" customHeight="1" x14ac:dyDescent="0.3">
      <c r="B209" s="18"/>
      <c r="C209" s="62" t="s">
        <v>48</v>
      </c>
      <c r="D209" s="298">
        <v>0.66700000000000004</v>
      </c>
      <c r="E209" s="415">
        <f>-1*0</f>
        <v>0</v>
      </c>
      <c r="F209" s="415">
        <f t="shared" si="672"/>
        <v>0</v>
      </c>
      <c r="G209" s="20">
        <v>5</v>
      </c>
      <c r="H209" s="20">
        <f t="shared" ref="H209:H210" si="701">+D209</f>
        <v>0.66700000000000004</v>
      </c>
      <c r="I209" s="21"/>
      <c r="J209" s="81"/>
      <c r="K209" s="103">
        <f t="shared" ref="K209:K210" si="702">+IF(D209=0.667,E209*F209*G209*H209*J209,0)</f>
        <v>0</v>
      </c>
      <c r="L209" s="103">
        <f t="shared" ref="L209:L210" si="703">+IF(D209=0.333,E209*F209*G209*J209,0)</f>
        <v>0</v>
      </c>
      <c r="M209" s="81">
        <v>2.25</v>
      </c>
      <c r="N209" s="103">
        <f t="shared" ref="N209:N210" si="704">+IF(D209=0.667,E209*F209*G209*H209*M209,0)</f>
        <v>0</v>
      </c>
      <c r="O209" s="103">
        <f t="shared" ref="O209:O210" si="705">+IF(D209=0.333,E209*F209*G209*M209,0)</f>
        <v>0</v>
      </c>
      <c r="P209" s="81"/>
      <c r="Q209" s="103">
        <f t="shared" ref="Q209:Q210" si="706">+IF(D209=0.667,E209*F209*G209*H209*P209,0)</f>
        <v>0</v>
      </c>
      <c r="R209" s="103">
        <f t="shared" ref="R209:R210" si="707">+IF(D209=0.333,E209*F209*G209*P209,0)</f>
        <v>0</v>
      </c>
      <c r="S209" s="104">
        <f t="shared" si="698"/>
        <v>0</v>
      </c>
      <c r="T209" s="104">
        <f t="shared" si="699"/>
        <v>0</v>
      </c>
      <c r="U209" s="18"/>
      <c r="V209" s="26"/>
      <c r="W209" s="225">
        <f>+G209+D209</f>
        <v>5.6669999999999998</v>
      </c>
      <c r="X209" s="225">
        <v>0.5</v>
      </c>
      <c r="Y209" s="225">
        <f>+IF(D209=0.667,-E209*F209*H209*W209*X209,0)</f>
        <v>0</v>
      </c>
      <c r="Z209" s="225">
        <f>+IF(D209=0.333,-E209*F209*H209*W209*X209,0)</f>
        <v>0</v>
      </c>
      <c r="AA209" s="225">
        <f>+F209*G209*H209</f>
        <v>0</v>
      </c>
      <c r="AB209" s="225">
        <f t="shared" ref="AB209:AB210" si="708">2*F209*W209*X209</f>
        <v>0</v>
      </c>
      <c r="AC209" s="27"/>
      <c r="AD209" s="21">
        <v>0.16700000000000001</v>
      </c>
      <c r="AE209" s="21">
        <f t="shared" ref="AE209:AE210" si="709">+IF(D209=0.667,AD209*W209*H209*F209,0)</f>
        <v>0</v>
      </c>
      <c r="AF209" s="21">
        <f t="shared" ref="AF209:AF210" si="710">+IF(D209=0.333,AD209*W209*H209*F209,0)</f>
        <v>0</v>
      </c>
      <c r="AG209" s="27"/>
      <c r="AH209" s="396"/>
      <c r="AI209" s="21">
        <f t="shared" ref="AI209:AI210" si="711">+AH209*G209*D209*0.17</f>
        <v>0</v>
      </c>
      <c r="AK209" s="301">
        <f t="shared" si="670"/>
        <v>0</v>
      </c>
      <c r="AL209" s="301"/>
      <c r="AM209" s="301"/>
      <c r="AN209" s="301"/>
      <c r="AO209" s="299"/>
      <c r="AP209" s="301"/>
      <c r="AQ209" s="301"/>
    </row>
    <row r="210" spans="2:43" ht="20.100000000000001" customHeight="1" x14ac:dyDescent="0.3">
      <c r="B210" s="18"/>
      <c r="C210" s="62" t="s">
        <v>246</v>
      </c>
      <c r="D210" s="298">
        <v>0.66700000000000004</v>
      </c>
      <c r="E210" s="415">
        <f>-1*0</f>
        <v>0</v>
      </c>
      <c r="F210" s="415">
        <f t="shared" si="672"/>
        <v>0</v>
      </c>
      <c r="G210" s="20">
        <v>2</v>
      </c>
      <c r="H210" s="20">
        <f t="shared" si="701"/>
        <v>0.66700000000000004</v>
      </c>
      <c r="I210" s="21"/>
      <c r="J210" s="81"/>
      <c r="K210" s="103">
        <f t="shared" si="702"/>
        <v>0</v>
      </c>
      <c r="L210" s="103">
        <f t="shared" si="703"/>
        <v>0</v>
      </c>
      <c r="M210" s="81">
        <v>0</v>
      </c>
      <c r="N210" s="103">
        <f t="shared" si="704"/>
        <v>0</v>
      </c>
      <c r="O210" s="103">
        <f t="shared" si="705"/>
        <v>0</v>
      </c>
      <c r="P210" s="81">
        <v>2</v>
      </c>
      <c r="Q210" s="103">
        <f t="shared" si="706"/>
        <v>0</v>
      </c>
      <c r="R210" s="103">
        <f t="shared" si="707"/>
        <v>0</v>
      </c>
      <c r="S210" s="104">
        <f t="shared" si="698"/>
        <v>0</v>
      </c>
      <c r="T210" s="104">
        <f t="shared" si="699"/>
        <v>0</v>
      </c>
      <c r="U210" s="18"/>
      <c r="V210" s="26"/>
      <c r="W210" s="225">
        <f>+G210+D210</f>
        <v>2.6669999999999998</v>
      </c>
      <c r="X210" s="225">
        <v>0.5</v>
      </c>
      <c r="Y210" s="225">
        <f>+IF(D210=0.667,-E210*F210*H210*W210*X210,0)</f>
        <v>0</v>
      </c>
      <c r="Z210" s="225">
        <f>+IF(D210=0.333,-E210*F210*H210*W210*X210,0)</f>
        <v>0</v>
      </c>
      <c r="AA210" s="225">
        <f>+F210*G210*H210</f>
        <v>0</v>
      </c>
      <c r="AB210" s="225">
        <f t="shared" si="708"/>
        <v>0</v>
      </c>
      <c r="AC210" s="27"/>
      <c r="AD210" s="21">
        <v>0.16700000000000001</v>
      </c>
      <c r="AE210" s="21">
        <f t="shared" si="709"/>
        <v>0</v>
      </c>
      <c r="AF210" s="21">
        <f t="shared" si="710"/>
        <v>0</v>
      </c>
      <c r="AG210" s="27"/>
      <c r="AH210" s="396"/>
      <c r="AI210" s="21">
        <f t="shared" si="711"/>
        <v>0</v>
      </c>
      <c r="AK210" s="301">
        <f t="shared" si="670"/>
        <v>0</v>
      </c>
      <c r="AL210" s="301"/>
      <c r="AM210" s="301"/>
      <c r="AN210" s="301"/>
      <c r="AO210" s="299"/>
      <c r="AP210" s="301"/>
      <c r="AQ210" s="301"/>
    </row>
    <row r="211" spans="2:43" ht="20.100000000000001" customHeight="1" x14ac:dyDescent="0.3">
      <c r="B211" s="92"/>
      <c r="C211" s="95" t="s">
        <v>359</v>
      </c>
      <c r="D211" s="98">
        <v>0.66700000000000004</v>
      </c>
      <c r="E211" s="415">
        <f>1*0</f>
        <v>0</v>
      </c>
      <c r="F211" s="415">
        <f t="shared" si="672"/>
        <v>0</v>
      </c>
      <c r="G211" s="98">
        <f>(6.395)*3.281</f>
        <v>20.981994999999998</v>
      </c>
      <c r="H211" s="98">
        <f>+D211</f>
        <v>0.66700000000000004</v>
      </c>
      <c r="I211" s="94">
        <v>2</v>
      </c>
      <c r="J211" s="99">
        <v>3</v>
      </c>
      <c r="K211" s="100">
        <f>+IF(D211=0.667,E211*F211*G211*H211*J211,0)</f>
        <v>0</v>
      </c>
      <c r="L211" s="100">
        <f>+IF(D211=0.333,E211*F211*G211*J211,0)</f>
        <v>0</v>
      </c>
      <c r="M211" s="99">
        <v>4</v>
      </c>
      <c r="N211" s="100">
        <f>+IF(D211=0.667,E211*F211*G211*H211*M211,0)</f>
        <v>0</v>
      </c>
      <c r="O211" s="100">
        <f>+IF(D211=0.333,E211*F211*G211*M211,0)</f>
        <v>0</v>
      </c>
      <c r="P211" s="81">
        <f>11.833-I211-M211-J211</f>
        <v>2.8330000000000002</v>
      </c>
      <c r="Q211" s="100">
        <f>+IF(D211=0.667,E211*F211*G211*H211*P211,0)</f>
        <v>0</v>
      </c>
      <c r="R211" s="100">
        <f>+IF(D211=0.333,E211*F211*G211*P211,0)</f>
        <v>0</v>
      </c>
      <c r="S211" s="101">
        <f t="shared" si="698"/>
        <v>0</v>
      </c>
      <c r="T211" s="101">
        <f t="shared" si="699"/>
        <v>0</v>
      </c>
      <c r="U211" s="92"/>
      <c r="V211" s="91"/>
      <c r="W211" s="102"/>
      <c r="X211" s="98"/>
      <c r="Y211" s="102"/>
      <c r="Z211" s="98"/>
      <c r="AA211" s="98"/>
      <c r="AB211" s="98"/>
      <c r="AC211" s="91"/>
      <c r="AD211" s="98"/>
      <c r="AE211" s="98"/>
      <c r="AF211" s="98"/>
      <c r="AG211" s="91"/>
      <c r="AH211" s="415">
        <f>1*0</f>
        <v>0</v>
      </c>
      <c r="AI211" s="299">
        <f>+AH211*G211*D211*0.17</f>
        <v>0</v>
      </c>
      <c r="AK211" s="301">
        <f t="shared" si="670"/>
        <v>0</v>
      </c>
      <c r="AL211" s="301">
        <f t="shared" ref="AL211:AL215" si="712">+IF(D211=0.333,E211*F211*G211,0)</f>
        <v>0</v>
      </c>
      <c r="AM211" s="301"/>
      <c r="AN211" s="301">
        <f>+IF(D211=0.333,1.33,0)</f>
        <v>0</v>
      </c>
      <c r="AO211" s="299"/>
      <c r="AP211" s="301"/>
      <c r="AQ211" s="301"/>
    </row>
    <row r="212" spans="2:43" ht="20.100000000000001" customHeight="1" x14ac:dyDescent="0.3">
      <c r="B212" s="18"/>
      <c r="C212" s="62" t="s">
        <v>34</v>
      </c>
      <c r="D212" s="98">
        <v>0.66700000000000004</v>
      </c>
      <c r="E212" s="415">
        <f>-1*0</f>
        <v>0</v>
      </c>
      <c r="F212" s="415">
        <f t="shared" si="672"/>
        <v>0</v>
      </c>
      <c r="G212" s="20">
        <v>3.25</v>
      </c>
      <c r="H212" s="20">
        <f t="shared" ref="H212" si="713">+D212</f>
        <v>0.66700000000000004</v>
      </c>
      <c r="I212" s="21"/>
      <c r="J212" s="81">
        <v>3</v>
      </c>
      <c r="K212" s="103">
        <f t="shared" ref="K212" si="714">+IF(D212=0.667,E212*F212*G212*H212*J212,0)</f>
        <v>0</v>
      </c>
      <c r="L212" s="103">
        <f t="shared" ref="L212" si="715">+IF(D212=0.333,E212*F212*G212*J212,0)</f>
        <v>0</v>
      </c>
      <c r="M212" s="81">
        <v>4</v>
      </c>
      <c r="N212" s="103">
        <f t="shared" ref="N212" si="716">+IF(D212=0.667,E212*F212*G212*H212*M212,0)</f>
        <v>0</v>
      </c>
      <c r="O212" s="103">
        <f t="shared" ref="O212" si="717">+IF(D212=0.333,E212*F212*G212*M212,0)</f>
        <v>0</v>
      </c>
      <c r="P212" s="81"/>
      <c r="Q212" s="103">
        <f t="shared" ref="Q212" si="718">+IF(D212=0.667,E212*F212*G212*H212*P212,0)</f>
        <v>0</v>
      </c>
      <c r="R212" s="103">
        <f t="shared" ref="R212" si="719">+IF(D212=0.333,E212*F212*G212*P212,0)</f>
        <v>0</v>
      </c>
      <c r="S212" s="104">
        <f t="shared" si="698"/>
        <v>0</v>
      </c>
      <c r="T212" s="104">
        <f t="shared" si="699"/>
        <v>0</v>
      </c>
      <c r="U212" s="18"/>
      <c r="V212" s="26"/>
      <c r="W212" s="225">
        <f>+G212+D212</f>
        <v>3.9169999999999998</v>
      </c>
      <c r="X212" s="225">
        <v>0.5</v>
      </c>
      <c r="Y212" s="225">
        <f>+IF(D212=0.667,-E212*F212*H212*W212*X212,0)</f>
        <v>0</v>
      </c>
      <c r="Z212" s="225">
        <f>+IF(D212=0.333,-E212*F212*H212*W212*X212,0)</f>
        <v>0</v>
      </c>
      <c r="AA212" s="225">
        <f>+F212*G212*H212</f>
        <v>0</v>
      </c>
      <c r="AB212" s="225">
        <f t="shared" ref="AB212" si="720">2*F212*W212*X212</f>
        <v>0</v>
      </c>
      <c r="AC212" s="27"/>
      <c r="AD212" s="21"/>
      <c r="AE212" s="21">
        <f t="shared" ref="AE212" si="721">+IF(D212=0.667,AD212*W212*H212*F212,0)</f>
        <v>0</v>
      </c>
      <c r="AF212" s="21">
        <f t="shared" ref="AF212" si="722">+IF(D212=0.333,AD212*W212*H212*F212,0)</f>
        <v>0</v>
      </c>
      <c r="AG212" s="27"/>
      <c r="AH212" s="396"/>
      <c r="AI212" s="21">
        <f t="shared" ref="AI212" si="723">+AH212*G212*D212*0.17</f>
        <v>0</v>
      </c>
      <c r="AK212" s="301">
        <f t="shared" si="670"/>
        <v>0</v>
      </c>
      <c r="AL212" s="301">
        <f t="shared" si="712"/>
        <v>0</v>
      </c>
      <c r="AM212" s="301">
        <f>+IF(D212=0.667,1.33,0)*0</f>
        <v>0</v>
      </c>
      <c r="AN212" s="301">
        <f>+IF(D212=0.333,1.33,0)</f>
        <v>0</v>
      </c>
      <c r="AO212" s="299"/>
      <c r="AP212" s="301"/>
      <c r="AQ212" s="301"/>
    </row>
    <row r="213" spans="2:43" ht="20.100000000000001" customHeight="1" x14ac:dyDescent="0.3">
      <c r="B213" s="92"/>
      <c r="C213" s="62" t="s">
        <v>366</v>
      </c>
      <c r="D213" s="98">
        <v>0.33300000000000002</v>
      </c>
      <c r="E213" s="415">
        <f>1*0</f>
        <v>0</v>
      </c>
      <c r="F213" s="415">
        <f t="shared" si="672"/>
        <v>0</v>
      </c>
      <c r="G213" s="98">
        <f>(2.135+1.625+3.43)*3.281</f>
        <v>23.590389999999999</v>
      </c>
      <c r="H213" s="98">
        <f>+D213</f>
        <v>0.33300000000000002</v>
      </c>
      <c r="I213" s="94">
        <v>2</v>
      </c>
      <c r="J213" s="99">
        <v>3</v>
      </c>
      <c r="K213" s="100">
        <f>+IF(D213=0.667,E213*F213*G213*H213*J213,0)</f>
        <v>0</v>
      </c>
      <c r="L213" s="100">
        <f>+IF(D213=0.333,E213*F213*G213*J213,0)</f>
        <v>0</v>
      </c>
      <c r="M213" s="99">
        <v>4</v>
      </c>
      <c r="N213" s="100">
        <f>+IF(D213=0.667,E213*F213*G213*H213*M213,0)</f>
        <v>0</v>
      </c>
      <c r="O213" s="100">
        <f>+IF(D213=0.333,E213*F213*G213*M213,0)</f>
        <v>0</v>
      </c>
      <c r="P213" s="81">
        <f>11.833-I213-M213-J213</f>
        <v>2.8330000000000002</v>
      </c>
      <c r="Q213" s="100">
        <f>+IF(D213=0.667,E213*F213*G213*H213*P213,0)</f>
        <v>0</v>
      </c>
      <c r="R213" s="100">
        <f>+IF(D213=0.333,E213*F213*G213*P213,0)</f>
        <v>0</v>
      </c>
      <c r="S213" s="101">
        <f t="shared" si="698"/>
        <v>0</v>
      </c>
      <c r="T213" s="101">
        <f t="shared" si="699"/>
        <v>0</v>
      </c>
      <c r="U213" s="92"/>
      <c r="V213" s="91"/>
      <c r="W213" s="102"/>
      <c r="X213" s="98"/>
      <c r="Y213" s="102"/>
      <c r="Z213" s="98"/>
      <c r="AA213" s="98"/>
      <c r="AB213" s="98"/>
      <c r="AC213" s="91"/>
      <c r="AD213" s="98"/>
      <c r="AE213" s="98"/>
      <c r="AF213" s="98"/>
      <c r="AG213" s="91"/>
      <c r="AH213" s="415">
        <f>1*0</f>
        <v>0</v>
      </c>
      <c r="AI213" s="299">
        <f>+AH213*G213*D213*0.17</f>
        <v>0</v>
      </c>
      <c r="AK213" s="301">
        <f t="shared" si="670"/>
        <v>0</v>
      </c>
      <c r="AL213" s="301">
        <f t="shared" si="712"/>
        <v>0</v>
      </c>
      <c r="AM213" s="301"/>
      <c r="AN213" s="301"/>
      <c r="AO213" s="299"/>
      <c r="AP213" s="301"/>
      <c r="AQ213" s="301"/>
    </row>
    <row r="214" spans="2:43" ht="20.100000000000001" customHeight="1" x14ac:dyDescent="0.3">
      <c r="B214" s="18"/>
      <c r="C214" s="62" t="s">
        <v>337</v>
      </c>
      <c r="D214" s="98">
        <v>0.33300000000000002</v>
      </c>
      <c r="E214" s="415">
        <f>-1*0</f>
        <v>0</v>
      </c>
      <c r="F214" s="415">
        <f t="shared" si="672"/>
        <v>0</v>
      </c>
      <c r="G214" s="20">
        <v>2.5</v>
      </c>
      <c r="H214" s="20">
        <f t="shared" ref="H214:H216" si="724">+D214</f>
        <v>0.33300000000000002</v>
      </c>
      <c r="I214" s="21"/>
      <c r="J214" s="81">
        <v>3</v>
      </c>
      <c r="K214" s="103">
        <f t="shared" ref="K214:K216" si="725">+IF(D214=0.667,E214*F214*G214*H214*J214,0)</f>
        <v>0</v>
      </c>
      <c r="L214" s="103">
        <f t="shared" ref="L214:L216" si="726">+IF(D214=0.333,E214*F214*G214*J214,0)</f>
        <v>0</v>
      </c>
      <c r="M214" s="81">
        <v>3</v>
      </c>
      <c r="N214" s="103">
        <f t="shared" ref="N214:N216" si="727">+IF(D214=0.667,E214*F214*G214*H214*M214,0)</f>
        <v>0</v>
      </c>
      <c r="O214" s="103">
        <f t="shared" ref="O214:O216" si="728">+IF(D214=0.333,E214*F214*G214*M214,0)</f>
        <v>0</v>
      </c>
      <c r="P214" s="81"/>
      <c r="Q214" s="103">
        <f t="shared" ref="Q214:Q216" si="729">+IF(D214=0.667,E214*F214*G214*H214*P214,0)</f>
        <v>0</v>
      </c>
      <c r="R214" s="103">
        <f t="shared" ref="R214:R216" si="730">+IF(D214=0.333,E214*F214*G214*P214,0)</f>
        <v>0</v>
      </c>
      <c r="S214" s="104">
        <f t="shared" si="698"/>
        <v>0</v>
      </c>
      <c r="T214" s="104">
        <f t="shared" si="699"/>
        <v>0</v>
      </c>
      <c r="U214" s="18"/>
      <c r="V214" s="26"/>
      <c r="W214" s="225">
        <f>+G214+D214</f>
        <v>2.8330000000000002</v>
      </c>
      <c r="X214" s="225">
        <v>0.5</v>
      </c>
      <c r="Y214" s="225">
        <f>+IF(D214=0.667,-E214*F214*H214*W214*X214,0)</f>
        <v>0</v>
      </c>
      <c r="Z214" s="225">
        <f>+IF(D214=0.333,-E214*F214*H214*W214*X214,0)</f>
        <v>0</v>
      </c>
      <c r="AA214" s="225">
        <f>+F214*G214*H214</f>
        <v>0</v>
      </c>
      <c r="AB214" s="225">
        <f t="shared" ref="AB214:AB216" si="731">2*F214*W214*X214</f>
        <v>0</v>
      </c>
      <c r="AC214" s="27"/>
      <c r="AD214" s="21"/>
      <c r="AE214" s="21">
        <f t="shared" ref="AE214:AE216" si="732">+IF(D214=0.667,AD214*W214*H214*F214,0)</f>
        <v>0</v>
      </c>
      <c r="AF214" s="21">
        <f t="shared" ref="AF214:AF216" si="733">+IF(D214=0.333,AD214*W214*H214*F214,0)</f>
        <v>0</v>
      </c>
      <c r="AG214" s="27"/>
      <c r="AH214" s="396"/>
      <c r="AI214" s="21">
        <f t="shared" ref="AI214:AI216" si="734">+AH214*G214*D214*0.17</f>
        <v>0</v>
      </c>
      <c r="AK214" s="301">
        <f t="shared" si="670"/>
        <v>0</v>
      </c>
      <c r="AL214" s="301">
        <f t="shared" si="712"/>
        <v>0</v>
      </c>
      <c r="AM214" s="301"/>
      <c r="AN214" s="301">
        <f>+IF(D214=0.333,1.33,0)*0</f>
        <v>0</v>
      </c>
      <c r="AO214" s="299"/>
      <c r="AP214" s="301"/>
      <c r="AQ214" s="301"/>
    </row>
    <row r="215" spans="2:43" ht="20.100000000000001" customHeight="1" x14ac:dyDescent="0.3">
      <c r="B215" s="18"/>
      <c r="C215" s="62" t="s">
        <v>341</v>
      </c>
      <c r="D215" s="98">
        <v>0.33300000000000002</v>
      </c>
      <c r="E215" s="415">
        <v>-1</v>
      </c>
      <c r="F215" s="415">
        <f t="shared" si="672"/>
        <v>0</v>
      </c>
      <c r="G215" s="20">
        <v>3.25</v>
      </c>
      <c r="H215" s="20">
        <f t="shared" si="724"/>
        <v>0.33300000000000002</v>
      </c>
      <c r="I215" s="21"/>
      <c r="J215" s="81">
        <v>3</v>
      </c>
      <c r="K215" s="103">
        <f t="shared" si="725"/>
        <v>0</v>
      </c>
      <c r="L215" s="103">
        <f t="shared" si="726"/>
        <v>0</v>
      </c>
      <c r="M215" s="81">
        <v>3</v>
      </c>
      <c r="N215" s="103">
        <f t="shared" si="727"/>
        <v>0</v>
      </c>
      <c r="O215" s="103">
        <f t="shared" si="728"/>
        <v>0</v>
      </c>
      <c r="P215" s="81"/>
      <c r="Q215" s="103">
        <f t="shared" si="729"/>
        <v>0</v>
      </c>
      <c r="R215" s="103">
        <f t="shared" si="730"/>
        <v>0</v>
      </c>
      <c r="S215" s="104">
        <f t="shared" si="698"/>
        <v>0</v>
      </c>
      <c r="T215" s="104">
        <f t="shared" si="699"/>
        <v>0</v>
      </c>
      <c r="U215" s="18"/>
      <c r="V215" s="26"/>
      <c r="W215" s="225">
        <f>+G215+D215</f>
        <v>3.5830000000000002</v>
      </c>
      <c r="X215" s="225">
        <v>0.5</v>
      </c>
      <c r="Y215" s="225">
        <f>+IF(D215=0.667,-E215*F215*H215*W215*X215,0)</f>
        <v>0</v>
      </c>
      <c r="Z215" s="225">
        <f>+IF(D215=0.333,-E215*F215*H215*W215*X215,0)</f>
        <v>0</v>
      </c>
      <c r="AA215" s="225">
        <f>+F215*G215*H215</f>
        <v>0</v>
      </c>
      <c r="AB215" s="225">
        <f t="shared" si="731"/>
        <v>0</v>
      </c>
      <c r="AC215" s="27"/>
      <c r="AD215" s="21"/>
      <c r="AE215" s="21">
        <f t="shared" si="732"/>
        <v>0</v>
      </c>
      <c r="AF215" s="21">
        <f t="shared" si="733"/>
        <v>0</v>
      </c>
      <c r="AG215" s="27"/>
      <c r="AH215" s="396"/>
      <c r="AI215" s="21">
        <f t="shared" si="734"/>
        <v>0</v>
      </c>
      <c r="AK215" s="301">
        <f t="shared" si="670"/>
        <v>0</v>
      </c>
      <c r="AL215" s="301">
        <f t="shared" si="712"/>
        <v>0</v>
      </c>
      <c r="AM215" s="301"/>
      <c r="AN215" s="301">
        <f>+IF(D215=0.333,1.33,0)*0</f>
        <v>0</v>
      </c>
      <c r="AO215" s="299"/>
      <c r="AP215" s="301"/>
      <c r="AQ215" s="301"/>
    </row>
    <row r="216" spans="2:43" ht="20.100000000000001" customHeight="1" x14ac:dyDescent="0.3">
      <c r="B216" s="18"/>
      <c r="C216" s="62" t="s">
        <v>343</v>
      </c>
      <c r="D216" s="298">
        <v>0.33300000000000002</v>
      </c>
      <c r="E216" s="415">
        <f>1*0</f>
        <v>0</v>
      </c>
      <c r="F216" s="415">
        <f t="shared" si="672"/>
        <v>0</v>
      </c>
      <c r="G216" s="20">
        <f>(1.05+1.2)*3.281</f>
        <v>7.38225</v>
      </c>
      <c r="H216" s="20">
        <f t="shared" si="724"/>
        <v>0.33300000000000002</v>
      </c>
      <c r="I216" s="21">
        <f>18/12</f>
        <v>1.5</v>
      </c>
      <c r="J216" s="81">
        <v>3</v>
      </c>
      <c r="K216" s="103">
        <f t="shared" si="725"/>
        <v>0</v>
      </c>
      <c r="L216" s="103">
        <f t="shared" si="726"/>
        <v>0</v>
      </c>
      <c r="M216" s="81"/>
      <c r="N216" s="103">
        <f t="shared" si="727"/>
        <v>0</v>
      </c>
      <c r="O216" s="103">
        <f t="shared" si="728"/>
        <v>0</v>
      </c>
      <c r="P216" s="81"/>
      <c r="Q216" s="103">
        <f t="shared" si="729"/>
        <v>0</v>
      </c>
      <c r="R216" s="103">
        <f t="shared" si="730"/>
        <v>0</v>
      </c>
      <c r="S216" s="104">
        <f t="shared" si="698"/>
        <v>0</v>
      </c>
      <c r="T216" s="104">
        <f t="shared" si="699"/>
        <v>0</v>
      </c>
      <c r="U216" s="18"/>
      <c r="V216" s="26"/>
      <c r="W216" s="21"/>
      <c r="X216" s="21"/>
      <c r="Y216" s="21"/>
      <c r="Z216" s="21"/>
      <c r="AA216" s="21"/>
      <c r="AB216" s="21">
        <f t="shared" si="731"/>
        <v>0</v>
      </c>
      <c r="AC216" s="27"/>
      <c r="AD216" s="21"/>
      <c r="AE216" s="21">
        <f t="shared" si="732"/>
        <v>0</v>
      </c>
      <c r="AF216" s="21">
        <f t="shared" si="733"/>
        <v>0</v>
      </c>
      <c r="AG216" s="27"/>
      <c r="AH216" s="415">
        <f>1*0</f>
        <v>0</v>
      </c>
      <c r="AI216" s="21">
        <f t="shared" si="734"/>
        <v>0</v>
      </c>
      <c r="AK216" s="301">
        <f t="shared" si="670"/>
        <v>0</v>
      </c>
      <c r="AL216" s="301"/>
      <c r="AM216" s="301"/>
      <c r="AN216" s="301"/>
      <c r="AO216" s="299">
        <f>+E216*F216*G216</f>
        <v>0</v>
      </c>
      <c r="AP216" s="301"/>
      <c r="AQ216" s="301"/>
    </row>
    <row r="217" spans="2:43" ht="20.100000000000001" customHeight="1" x14ac:dyDescent="0.3">
      <c r="B217" s="369"/>
      <c r="C217" s="395"/>
      <c r="D217" s="371"/>
      <c r="E217" s="369"/>
      <c r="F217" s="369"/>
      <c r="G217" s="371"/>
      <c r="H217" s="371"/>
      <c r="I217" s="372"/>
      <c r="J217" s="371"/>
      <c r="K217" s="371"/>
      <c r="L217" s="371"/>
      <c r="M217" s="371"/>
      <c r="N217" s="371"/>
      <c r="O217" s="371"/>
      <c r="P217" s="371"/>
      <c r="Q217" s="371"/>
      <c r="R217" s="371"/>
      <c r="S217" s="371"/>
      <c r="T217" s="371"/>
      <c r="U217" s="369"/>
      <c r="V217" s="370"/>
      <c r="W217" s="372"/>
      <c r="X217" s="371"/>
      <c r="Y217" s="372"/>
      <c r="Z217" s="371"/>
      <c r="AA217" s="371"/>
      <c r="AB217" s="371"/>
      <c r="AC217" s="370"/>
      <c r="AD217" s="371"/>
      <c r="AE217" s="371"/>
      <c r="AF217" s="371"/>
      <c r="AG217" s="370"/>
      <c r="AH217" s="693"/>
      <c r="AI217" s="372"/>
      <c r="AK217" s="377"/>
      <c r="AL217" s="377"/>
      <c r="AM217" s="377"/>
      <c r="AN217" s="377"/>
      <c r="AO217" s="372"/>
      <c r="AP217" s="377"/>
      <c r="AQ217" s="377"/>
    </row>
    <row r="218" spans="2:43" ht="20.100000000000001" customHeight="1" x14ac:dyDescent="0.3">
      <c r="B218" s="369"/>
      <c r="C218" s="97" t="s">
        <v>364</v>
      </c>
      <c r="D218" s="371"/>
      <c r="E218" s="369"/>
      <c r="F218" s="369"/>
      <c r="G218" s="371"/>
      <c r="H218" s="371"/>
      <c r="I218" s="372"/>
      <c r="J218" s="371"/>
      <c r="K218" s="371"/>
      <c r="L218" s="371"/>
      <c r="M218" s="371"/>
      <c r="N218" s="371"/>
      <c r="O218" s="371"/>
      <c r="P218" s="371"/>
      <c r="Q218" s="371"/>
      <c r="R218" s="371"/>
      <c r="S218" s="371"/>
      <c r="T218" s="371"/>
      <c r="U218" s="369"/>
      <c r="V218" s="370"/>
      <c r="W218" s="372"/>
      <c r="X218" s="371"/>
      <c r="Y218" s="372"/>
      <c r="Z218" s="371"/>
      <c r="AA218" s="371"/>
      <c r="AB218" s="371"/>
      <c r="AC218" s="370"/>
      <c r="AD218" s="371"/>
      <c r="AE218" s="371"/>
      <c r="AF218" s="371"/>
      <c r="AG218" s="370"/>
      <c r="AH218" s="693"/>
      <c r="AI218" s="372"/>
      <c r="AK218" s="377"/>
      <c r="AL218" s="377"/>
      <c r="AM218" s="377"/>
      <c r="AN218" s="377"/>
      <c r="AO218" s="372"/>
      <c r="AP218" s="377"/>
      <c r="AQ218" s="377"/>
    </row>
    <row r="219" spans="2:43" ht="20.100000000000001" customHeight="1" x14ac:dyDescent="0.3">
      <c r="B219" s="92"/>
      <c r="C219" s="95" t="s">
        <v>32</v>
      </c>
      <c r="D219" s="98">
        <v>0.66700000000000004</v>
      </c>
      <c r="E219" s="92">
        <v>1</v>
      </c>
      <c r="F219" s="92">
        <v>1</v>
      </c>
      <c r="G219" s="98">
        <f>(0.589+1.936)*3.281</f>
        <v>8.2845250000000004</v>
      </c>
      <c r="H219" s="98">
        <f>+D219</f>
        <v>0.66700000000000004</v>
      </c>
      <c r="I219" s="94">
        <v>2</v>
      </c>
      <c r="J219" s="99">
        <v>3</v>
      </c>
      <c r="K219" s="100">
        <f>+IF(D219=0.667,E219*F219*G219*H219*J219,0)</f>
        <v>16.577334525000001</v>
      </c>
      <c r="L219" s="100">
        <f>+IF(D219=0.333,E219*F219*G219*J219,0)</f>
        <v>0</v>
      </c>
      <c r="M219" s="99">
        <v>4</v>
      </c>
      <c r="N219" s="100">
        <f>+IF(D219=0.667,E219*F219*G219*H219*M219,0)</f>
        <v>22.103112700000001</v>
      </c>
      <c r="O219" s="100">
        <f>+IF(D219=0.333,E219*F219*G219*M219,0)</f>
        <v>0</v>
      </c>
      <c r="P219" s="81">
        <f>11.833-I219-M219-J219</f>
        <v>2.8330000000000002</v>
      </c>
      <c r="Q219" s="100">
        <f>+IF(D219=0.667,E219*F219*G219*H219*P219,0)</f>
        <v>15.654529569775001</v>
      </c>
      <c r="R219" s="100">
        <f>+IF(D219=0.333,E219*F219*G219*P219,0)</f>
        <v>0</v>
      </c>
      <c r="S219" s="101">
        <f t="shared" ref="S219:S221" si="735">+Q219+N219+K219</f>
        <v>54.334976794775002</v>
      </c>
      <c r="T219" s="101">
        <f t="shared" ref="T219:T221" si="736">+R219+O219+L219</f>
        <v>0</v>
      </c>
      <c r="U219" s="92"/>
      <c r="V219" s="91"/>
      <c r="W219" s="102"/>
      <c r="X219" s="98"/>
      <c r="Y219" s="102"/>
      <c r="Z219" s="98"/>
      <c r="AA219" s="98"/>
      <c r="AB219" s="98"/>
      <c r="AC219" s="91"/>
      <c r="AD219" s="98"/>
      <c r="AE219" s="98"/>
      <c r="AF219" s="98"/>
      <c r="AG219" s="91"/>
      <c r="AH219" s="692">
        <v>1</v>
      </c>
      <c r="AI219" s="299">
        <f>+AH219*G219*D219*0.17</f>
        <v>0.93938228975000004</v>
      </c>
      <c r="AK219" s="301">
        <f t="shared" ref="AK219:AK220" si="737">+IF(D219=0.667,E219*F219*G219,0)</f>
        <v>8.2845250000000004</v>
      </c>
      <c r="AL219" s="301">
        <f t="shared" ref="AL219:AL220" si="738">+IF(D219=0.333,E219*F219*G219,0)</f>
        <v>0</v>
      </c>
      <c r="AM219" s="301"/>
      <c r="AN219" s="301">
        <f>+IF(D219=0.333,1.33,0)</f>
        <v>0</v>
      </c>
      <c r="AO219" s="299"/>
      <c r="AP219" s="301"/>
      <c r="AQ219" s="301"/>
    </row>
    <row r="220" spans="2:43" ht="20.100000000000001" customHeight="1" x14ac:dyDescent="0.3">
      <c r="B220" s="18"/>
      <c r="C220" s="62" t="s">
        <v>34</v>
      </c>
      <c r="D220" s="98">
        <v>0.66700000000000004</v>
      </c>
      <c r="E220" s="18">
        <v>-1</v>
      </c>
      <c r="F220" s="702">
        <v>2</v>
      </c>
      <c r="G220" s="20">
        <v>3.25</v>
      </c>
      <c r="H220" s="20">
        <f t="shared" ref="H220:H221" si="739">+D220</f>
        <v>0.66700000000000004</v>
      </c>
      <c r="I220" s="21"/>
      <c r="J220" s="81">
        <v>3</v>
      </c>
      <c r="K220" s="103">
        <f t="shared" ref="K220:K221" si="740">+IF(D220=0.667,E220*F220*G220*H220*J220,0)</f>
        <v>-13.006500000000003</v>
      </c>
      <c r="L220" s="103">
        <f t="shared" ref="L220:L221" si="741">+IF(D220=0.333,E220*F220*G220*J220,0)</f>
        <v>0</v>
      </c>
      <c r="M220" s="81">
        <v>4</v>
      </c>
      <c r="N220" s="103">
        <f t="shared" ref="N220:N221" si="742">+IF(D220=0.667,E220*F220*G220*H220*M220,0)</f>
        <v>-17.342000000000002</v>
      </c>
      <c r="O220" s="103">
        <f t="shared" ref="O220:O221" si="743">+IF(D220=0.333,E220*F220*G220*M220,0)</f>
        <v>0</v>
      </c>
      <c r="P220" s="81"/>
      <c r="Q220" s="103">
        <f t="shared" ref="Q220:Q221" si="744">+IF(D220=0.667,E220*F220*G220*H220*P220,0)</f>
        <v>0</v>
      </c>
      <c r="R220" s="103">
        <f t="shared" ref="R220:R221" si="745">+IF(D220=0.333,E220*F220*G220*P220,0)</f>
        <v>0</v>
      </c>
      <c r="S220" s="104">
        <f t="shared" si="735"/>
        <v>-30.348500000000005</v>
      </c>
      <c r="T220" s="104">
        <f t="shared" si="736"/>
        <v>0</v>
      </c>
      <c r="U220" s="18"/>
      <c r="V220" s="26"/>
      <c r="W220" s="225">
        <f>+G220+D220</f>
        <v>3.9169999999999998</v>
      </c>
      <c r="X220" s="225">
        <v>0.5</v>
      </c>
      <c r="Y220" s="225">
        <f>+IF(D220=0.667,-E220*F220*H220*W220*X220,0)</f>
        <v>2.6126390000000002</v>
      </c>
      <c r="Z220" s="225">
        <f>+IF(D220=0.333,-E220*F220*H220*W220*X220,0)</f>
        <v>0</v>
      </c>
      <c r="AA220" s="225">
        <f>+F220*G220*H220</f>
        <v>4.3355000000000006</v>
      </c>
      <c r="AB220" s="225">
        <f t="shared" ref="AB220:AB221" si="746">2*F220*W220*X220</f>
        <v>7.8339999999999996</v>
      </c>
      <c r="AC220" s="27"/>
      <c r="AD220" s="21"/>
      <c r="AE220" s="21">
        <f t="shared" ref="AE220:AE221" si="747">+IF(D220=0.667,AD220*W220*H220*F220,0)</f>
        <v>0</v>
      </c>
      <c r="AF220" s="21">
        <f t="shared" ref="AF220:AF221" si="748">+IF(D220=0.333,AD220*W220*H220*F220,0)</f>
        <v>0</v>
      </c>
      <c r="AG220" s="27"/>
      <c r="AH220" s="396"/>
      <c r="AI220" s="21">
        <f t="shared" ref="AI220:AI221" si="749">+AH220*G220*D220*0.17</f>
        <v>0</v>
      </c>
      <c r="AK220" s="301">
        <f t="shared" si="737"/>
        <v>-6.5</v>
      </c>
      <c r="AL220" s="301">
        <f t="shared" si="738"/>
        <v>0</v>
      </c>
      <c r="AM220" s="301">
        <f>+IF(D220=0.667,1.33,0)</f>
        <v>1.33</v>
      </c>
      <c r="AN220" s="301">
        <f>+IF(D220=0.333,1.33,0)</f>
        <v>0</v>
      </c>
      <c r="AO220" s="299"/>
      <c r="AP220" s="301"/>
      <c r="AQ220" s="301"/>
    </row>
    <row r="221" spans="2:43" ht="20.100000000000001" customHeight="1" x14ac:dyDescent="0.3">
      <c r="B221" s="18"/>
      <c r="C221" s="62" t="s">
        <v>246</v>
      </c>
      <c r="D221" s="298">
        <v>0.66700000000000004</v>
      </c>
      <c r="E221" s="18">
        <v>-1</v>
      </c>
      <c r="F221" s="18">
        <v>1</v>
      </c>
      <c r="G221" s="20">
        <v>2</v>
      </c>
      <c r="H221" s="20">
        <f t="shared" si="739"/>
        <v>0.66700000000000004</v>
      </c>
      <c r="I221" s="21"/>
      <c r="J221" s="81"/>
      <c r="K221" s="103">
        <f t="shared" si="740"/>
        <v>0</v>
      </c>
      <c r="L221" s="103">
        <f t="shared" si="741"/>
        <v>0</v>
      </c>
      <c r="M221" s="81">
        <v>0</v>
      </c>
      <c r="N221" s="103">
        <f t="shared" si="742"/>
        <v>0</v>
      </c>
      <c r="O221" s="103">
        <f t="shared" si="743"/>
        <v>0</v>
      </c>
      <c r="P221" s="81">
        <v>2</v>
      </c>
      <c r="Q221" s="103">
        <f t="shared" si="744"/>
        <v>-2.6680000000000001</v>
      </c>
      <c r="R221" s="103">
        <f t="shared" si="745"/>
        <v>0</v>
      </c>
      <c r="S221" s="104">
        <f t="shared" si="735"/>
        <v>-2.6680000000000001</v>
      </c>
      <c r="T221" s="104">
        <f t="shared" si="736"/>
        <v>0</v>
      </c>
      <c r="U221" s="18"/>
      <c r="V221" s="26"/>
      <c r="W221" s="225">
        <f>+G221+D221</f>
        <v>2.6669999999999998</v>
      </c>
      <c r="X221" s="225">
        <v>0.5</v>
      </c>
      <c r="Y221" s="225">
        <f>+IF(D221=0.667,-E221*F221*H221*W221*X221,0)</f>
        <v>0.88944449999999997</v>
      </c>
      <c r="Z221" s="225">
        <f>+IF(D221=0.333,-E221*F221*H221*W221*X221,0)</f>
        <v>0</v>
      </c>
      <c r="AA221" s="225">
        <f>+F221*G221*H221</f>
        <v>1.3340000000000001</v>
      </c>
      <c r="AB221" s="225">
        <f t="shared" si="746"/>
        <v>2.6669999999999998</v>
      </c>
      <c r="AC221" s="27"/>
      <c r="AD221" s="21">
        <v>0.16700000000000001</v>
      </c>
      <c r="AE221" s="21">
        <f t="shared" si="747"/>
        <v>0.29707446300000001</v>
      </c>
      <c r="AF221" s="21">
        <f t="shared" si="748"/>
        <v>0</v>
      </c>
      <c r="AG221" s="27"/>
      <c r="AH221" s="396"/>
      <c r="AI221" s="21">
        <f t="shared" si="749"/>
        <v>0</v>
      </c>
      <c r="AK221" s="301"/>
      <c r="AL221" s="301"/>
      <c r="AM221" s="301"/>
      <c r="AN221" s="301"/>
      <c r="AO221" s="299"/>
      <c r="AP221" s="301"/>
      <c r="AQ221" s="301"/>
    </row>
    <row r="222" spans="2:43" ht="20.100000000000001" customHeight="1" x14ac:dyDescent="0.3">
      <c r="B222" s="369"/>
      <c r="C222" s="395"/>
      <c r="D222" s="371"/>
      <c r="E222" s="369"/>
      <c r="F222" s="369"/>
      <c r="G222" s="371"/>
      <c r="H222" s="371"/>
      <c r="I222" s="372"/>
      <c r="J222" s="371"/>
      <c r="K222" s="371"/>
      <c r="L222" s="371"/>
      <c r="M222" s="371"/>
      <c r="N222" s="371"/>
      <c r="O222" s="371"/>
      <c r="P222" s="371"/>
      <c r="Q222" s="371"/>
      <c r="R222" s="371"/>
      <c r="S222" s="371"/>
      <c r="T222" s="371"/>
      <c r="U222" s="369"/>
      <c r="V222" s="370"/>
      <c r="W222" s="372"/>
      <c r="X222" s="371"/>
      <c r="Y222" s="372"/>
      <c r="Z222" s="371"/>
      <c r="AA222" s="371"/>
      <c r="AB222" s="371"/>
      <c r="AC222" s="370"/>
      <c r="AD222" s="371"/>
      <c r="AE222" s="371"/>
      <c r="AF222" s="371"/>
      <c r="AG222" s="370"/>
      <c r="AH222" s="693"/>
      <c r="AI222" s="372"/>
      <c r="AK222" s="377"/>
      <c r="AL222" s="377"/>
      <c r="AM222" s="377"/>
      <c r="AN222" s="377"/>
      <c r="AO222" s="372"/>
      <c r="AP222" s="377"/>
      <c r="AQ222" s="377"/>
    </row>
    <row r="223" spans="2:43" ht="20.100000000000001" customHeight="1" x14ac:dyDescent="0.3">
      <c r="B223" s="369"/>
      <c r="C223" s="97" t="s">
        <v>365</v>
      </c>
      <c r="D223" s="371"/>
      <c r="E223" s="369"/>
      <c r="F223" s="369"/>
      <c r="G223" s="371"/>
      <c r="H223" s="371"/>
      <c r="I223" s="372"/>
      <c r="J223" s="371"/>
      <c r="K223" s="371"/>
      <c r="L223" s="371"/>
      <c r="M223" s="371"/>
      <c r="N223" s="371"/>
      <c r="O223" s="371"/>
      <c r="P223" s="371"/>
      <c r="Q223" s="371"/>
      <c r="R223" s="371"/>
      <c r="S223" s="371"/>
      <c r="T223" s="371"/>
      <c r="U223" s="369"/>
      <c r="V223" s="370"/>
      <c r="W223" s="372"/>
      <c r="X223" s="371"/>
      <c r="Y223" s="372"/>
      <c r="Z223" s="371"/>
      <c r="AA223" s="371"/>
      <c r="AB223" s="371"/>
      <c r="AC223" s="370"/>
      <c r="AD223" s="371"/>
      <c r="AE223" s="371"/>
      <c r="AF223" s="371"/>
      <c r="AG223" s="370"/>
      <c r="AH223" s="693"/>
      <c r="AI223" s="372"/>
      <c r="AK223" s="377"/>
      <c r="AL223" s="377"/>
      <c r="AM223" s="377"/>
      <c r="AN223" s="377"/>
      <c r="AO223" s="372"/>
      <c r="AP223" s="377"/>
      <c r="AQ223" s="377"/>
    </row>
    <row r="224" spans="2:43" ht="20.100000000000001" customHeight="1" x14ac:dyDescent="0.3">
      <c r="B224" s="92"/>
      <c r="C224" s="95" t="s">
        <v>33</v>
      </c>
      <c r="D224" s="98">
        <v>0.33300000000000002</v>
      </c>
      <c r="E224" s="415">
        <f>1*0</f>
        <v>0</v>
      </c>
      <c r="F224" s="415">
        <f>1*0</f>
        <v>0</v>
      </c>
      <c r="G224" s="98">
        <f>(3.538)*3.281</f>
        <v>11.608178000000001</v>
      </c>
      <c r="H224" s="98">
        <f>+D224</f>
        <v>0.33300000000000002</v>
      </c>
      <c r="I224" s="94">
        <v>2</v>
      </c>
      <c r="J224" s="99">
        <v>3</v>
      </c>
      <c r="K224" s="100">
        <f>+IF(D224=0.667,E224*F224*G224*H224*J224,0)</f>
        <v>0</v>
      </c>
      <c r="L224" s="100">
        <f>+IF(D224=0.333,E224*F224*G224*J224,0)</f>
        <v>0</v>
      </c>
      <c r="M224" s="99">
        <v>4</v>
      </c>
      <c r="N224" s="100">
        <f>+IF(D224=0.667,E224*F224*G224*H224*M224,0)</f>
        <v>0</v>
      </c>
      <c r="O224" s="100">
        <f>+IF(D224=0.333,E224*F224*G224*M224,0)</f>
        <v>0</v>
      </c>
      <c r="P224" s="81">
        <f>11.833-I224-M224-J224</f>
        <v>2.8330000000000002</v>
      </c>
      <c r="Q224" s="100">
        <f>+IF(D224=0.667,E224*F224*G224*H224*P224,0)</f>
        <v>0</v>
      </c>
      <c r="R224" s="100">
        <f>+IF(D224=0.333,E224*F224*G224*P224,0)</f>
        <v>0</v>
      </c>
      <c r="S224" s="101">
        <f t="shared" ref="S224:S225" si="750">+Q224+N224+K224</f>
        <v>0</v>
      </c>
      <c r="T224" s="101">
        <f t="shared" ref="T224:T225" si="751">+R224+O224+L224</f>
        <v>0</v>
      </c>
      <c r="U224" s="92"/>
      <c r="V224" s="91"/>
      <c r="W224" s="102"/>
      <c r="X224" s="98"/>
      <c r="Y224" s="102"/>
      <c r="Z224" s="98"/>
      <c r="AA224" s="98"/>
      <c r="AB224" s="98"/>
      <c r="AC224" s="91"/>
      <c r="AD224" s="98"/>
      <c r="AE224" s="98"/>
      <c r="AF224" s="98"/>
      <c r="AG224" s="91"/>
      <c r="AH224" s="415">
        <f>1*0</f>
        <v>0</v>
      </c>
      <c r="AI224" s="299">
        <f>+AH224*G224*D224*0.17</f>
        <v>0</v>
      </c>
      <c r="AK224" s="301">
        <f t="shared" ref="AK224:AK225" si="752">+IF(D224=0.667,E224*F224*G224,0)</f>
        <v>0</v>
      </c>
      <c r="AL224" s="301">
        <f t="shared" ref="AL224:AL225" si="753">+IF(D224=0.333,E224*F224*G224,0)</f>
        <v>0</v>
      </c>
      <c r="AM224" s="301"/>
      <c r="AN224" s="301">
        <f>+IF(D224=0.333,1.33,0)*0</f>
        <v>0</v>
      </c>
      <c r="AO224" s="299"/>
      <c r="AP224" s="301"/>
      <c r="AQ224" s="301"/>
    </row>
    <row r="225" spans="2:43" ht="20.100000000000001" customHeight="1" x14ac:dyDescent="0.3">
      <c r="B225" s="18"/>
      <c r="C225" s="62" t="s">
        <v>34</v>
      </c>
      <c r="D225" s="98">
        <v>0.33300000000000002</v>
      </c>
      <c r="E225" s="607">
        <f>-1*0</f>
        <v>0</v>
      </c>
      <c r="F225" s="415">
        <f t="shared" ref="F225:F227" si="754">1*0</f>
        <v>0</v>
      </c>
      <c r="G225" s="20">
        <v>3.25</v>
      </c>
      <c r="H225" s="20">
        <f t="shared" ref="H225" si="755">+D225</f>
        <v>0.33300000000000002</v>
      </c>
      <c r="I225" s="21"/>
      <c r="J225" s="81">
        <v>3</v>
      </c>
      <c r="K225" s="103">
        <f t="shared" ref="K225" si="756">+IF(D225=0.667,E225*F225*G225*H225*J225,0)</f>
        <v>0</v>
      </c>
      <c r="L225" s="103">
        <f t="shared" ref="L225" si="757">+IF(D225=0.333,E225*F225*G225*J225,0)</f>
        <v>0</v>
      </c>
      <c r="M225" s="81">
        <v>4</v>
      </c>
      <c r="N225" s="103">
        <f t="shared" ref="N225" si="758">+IF(D225=0.667,E225*F225*G225*H225*M225,0)</f>
        <v>0</v>
      </c>
      <c r="O225" s="103">
        <f t="shared" ref="O225" si="759">+IF(D225=0.333,E225*F225*G225*M225,0)</f>
        <v>0</v>
      </c>
      <c r="P225" s="81"/>
      <c r="Q225" s="103">
        <f t="shared" ref="Q225" si="760">+IF(D225=0.667,E225*F225*G225*H225*P225,0)</f>
        <v>0</v>
      </c>
      <c r="R225" s="103">
        <f t="shared" ref="R225" si="761">+IF(D225=0.333,E225*F225*G225*P225,0)</f>
        <v>0</v>
      </c>
      <c r="S225" s="104">
        <f t="shared" si="750"/>
        <v>0</v>
      </c>
      <c r="T225" s="104">
        <f t="shared" si="751"/>
        <v>0</v>
      </c>
      <c r="U225" s="18"/>
      <c r="V225" s="26"/>
      <c r="W225" s="225">
        <f>+G225+D225</f>
        <v>3.5830000000000002</v>
      </c>
      <c r="X225" s="225">
        <v>0.5</v>
      </c>
      <c r="Y225" s="225">
        <f>+IF(D225=0.667,-E225*F225*H225*W225*X225,0)</f>
        <v>0</v>
      </c>
      <c r="Z225" s="225">
        <f>+IF(D225=0.333,-E225*F225*H225*W225*X225,0)</f>
        <v>0</v>
      </c>
      <c r="AA225" s="225">
        <f>+F225*G225*H225</f>
        <v>0</v>
      </c>
      <c r="AB225" s="225">
        <f t="shared" ref="AB225" si="762">2*F225*W225*X225</f>
        <v>0</v>
      </c>
      <c r="AC225" s="27"/>
      <c r="AD225" s="21"/>
      <c r="AE225" s="21">
        <f t="shared" ref="AE225" si="763">+IF(D225=0.667,AD225*W225*H225*F225,0)</f>
        <v>0</v>
      </c>
      <c r="AF225" s="21">
        <f t="shared" ref="AF225" si="764">+IF(D225=0.333,AD225*W225*H225*F225,0)</f>
        <v>0</v>
      </c>
      <c r="AG225" s="27"/>
      <c r="AH225" s="396"/>
      <c r="AI225" s="21">
        <f t="shared" ref="AI225" si="765">+AH225*G225*D225*0.17</f>
        <v>0</v>
      </c>
      <c r="AK225" s="301">
        <f t="shared" si="752"/>
        <v>0</v>
      </c>
      <c r="AL225" s="301">
        <f t="shared" si="753"/>
        <v>0</v>
      </c>
      <c r="AM225" s="301"/>
      <c r="AN225" s="301">
        <f>+IF(D225=0.333,1.33,0)*0</f>
        <v>0</v>
      </c>
      <c r="AO225" s="299"/>
      <c r="AP225" s="301"/>
      <c r="AQ225" s="301"/>
    </row>
    <row r="226" spans="2:43" ht="20.100000000000001" customHeight="1" x14ac:dyDescent="0.3">
      <c r="B226" s="92"/>
      <c r="C226" s="95" t="s">
        <v>32</v>
      </c>
      <c r="D226" s="98">
        <v>0.33300000000000002</v>
      </c>
      <c r="E226" s="415">
        <f>1*0</f>
        <v>0</v>
      </c>
      <c r="F226" s="415">
        <f t="shared" si="754"/>
        <v>0</v>
      </c>
      <c r="G226" s="98">
        <f>(3.275)*3.281</f>
        <v>10.745274999999999</v>
      </c>
      <c r="H226" s="98">
        <f>+D226</f>
        <v>0.33300000000000002</v>
      </c>
      <c r="I226" s="94">
        <v>2</v>
      </c>
      <c r="J226" s="99">
        <v>3</v>
      </c>
      <c r="K226" s="100">
        <f>+IF(D226=0.667,E226*F226*G226*H226*J226,0)</f>
        <v>0</v>
      </c>
      <c r="L226" s="100">
        <f>+IF(D226=0.333,E226*F226*G226*J226,0)</f>
        <v>0</v>
      </c>
      <c r="M226" s="99">
        <v>4</v>
      </c>
      <c r="N226" s="100">
        <f>+IF(D226=0.667,E226*F226*G226*H226*M226,0)</f>
        <v>0</v>
      </c>
      <c r="O226" s="100">
        <f>+IF(D226=0.333,E226*F226*G226*M226,0)</f>
        <v>0</v>
      </c>
      <c r="P226" s="81">
        <f t="shared" ref="P226:P227" si="766">11.833-I226-M226-J226</f>
        <v>2.8330000000000002</v>
      </c>
      <c r="Q226" s="100">
        <f>+IF(D226=0.667,E226*F226*G226*H226*P226,0)</f>
        <v>0</v>
      </c>
      <c r="R226" s="100">
        <f>+IF(D226=0.333,E226*F226*G226*P226,0)</f>
        <v>0</v>
      </c>
      <c r="S226" s="101">
        <f t="shared" ref="S226:S230" si="767">+Q226+N226+K226</f>
        <v>0</v>
      </c>
      <c r="T226" s="101">
        <f t="shared" ref="T226:T230" si="768">+R226+O226+L226</f>
        <v>0</v>
      </c>
      <c r="U226" s="92"/>
      <c r="V226" s="91"/>
      <c r="W226" s="102"/>
      <c r="X226" s="98"/>
      <c r="Y226" s="102"/>
      <c r="Z226" s="98"/>
      <c r="AA226" s="98"/>
      <c r="AB226" s="98"/>
      <c r="AC226" s="91"/>
      <c r="AD226" s="98"/>
      <c r="AE226" s="98"/>
      <c r="AF226" s="98"/>
      <c r="AG226" s="91"/>
      <c r="AH226" s="415">
        <f>1*0</f>
        <v>0</v>
      </c>
      <c r="AI226" s="299">
        <f>+AH226*G226*D226*0.17</f>
        <v>0</v>
      </c>
      <c r="AK226" s="301">
        <f t="shared" ref="AK226:AK230" si="769">+IF(D226=0.667,E226*F226*G226,0)</f>
        <v>0</v>
      </c>
      <c r="AL226" s="301">
        <f t="shared" ref="AL226:AL230" si="770">+IF(D226=0.333,E226*F226*G226,0)</f>
        <v>0</v>
      </c>
      <c r="AM226" s="301"/>
      <c r="AN226" s="301">
        <f>+IF(D226=0.333,1.33,0)*0</f>
        <v>0</v>
      </c>
      <c r="AO226" s="299"/>
      <c r="AP226" s="301"/>
      <c r="AQ226" s="301"/>
    </row>
    <row r="227" spans="2:43" ht="27.75" customHeight="1" x14ac:dyDescent="0.3">
      <c r="B227" s="92"/>
      <c r="C227" s="62" t="s">
        <v>342</v>
      </c>
      <c r="D227" s="98">
        <v>0.33300000000000002</v>
      </c>
      <c r="E227" s="415">
        <f>1*0</f>
        <v>0</v>
      </c>
      <c r="F227" s="415">
        <f t="shared" si="754"/>
        <v>0</v>
      </c>
      <c r="G227" s="98">
        <f>(4.775+2.135+2.135)*3.281</f>
        <v>29.676645000000001</v>
      </c>
      <c r="H227" s="98">
        <f>+D227</f>
        <v>0.33300000000000002</v>
      </c>
      <c r="I227" s="94">
        <v>2</v>
      </c>
      <c r="J227" s="99">
        <v>3</v>
      </c>
      <c r="K227" s="100">
        <f>+IF(D227=0.667,E227*F227*G227*H227*J227,0)</f>
        <v>0</v>
      </c>
      <c r="L227" s="100">
        <f>+IF(D227=0.333,E227*F227*G227*J227,0)</f>
        <v>0</v>
      </c>
      <c r="M227" s="99">
        <v>4</v>
      </c>
      <c r="N227" s="100">
        <f>+IF(D227=0.667,E227*F227*G227*H227*M227,0)</f>
        <v>0</v>
      </c>
      <c r="O227" s="100">
        <f>+IF(D227=0.333,E227*F227*G227*M227,0)</f>
        <v>0</v>
      </c>
      <c r="P227" s="81">
        <f t="shared" si="766"/>
        <v>2.8330000000000002</v>
      </c>
      <c r="Q227" s="100">
        <f>+IF(D227=0.667,E227*F227*G227*H227*P227,0)</f>
        <v>0</v>
      </c>
      <c r="R227" s="100">
        <f>+IF(D227=0.333,E227*F227*G227*P227,0)</f>
        <v>0</v>
      </c>
      <c r="S227" s="101">
        <f t="shared" si="767"/>
        <v>0</v>
      </c>
      <c r="T227" s="101">
        <f t="shared" si="768"/>
        <v>0</v>
      </c>
      <c r="U227" s="92"/>
      <c r="V227" s="91"/>
      <c r="W227" s="102"/>
      <c r="X227" s="98"/>
      <c r="Y227" s="102"/>
      <c r="Z227" s="98"/>
      <c r="AA227" s="98"/>
      <c r="AB227" s="98"/>
      <c r="AC227" s="91"/>
      <c r="AD227" s="98"/>
      <c r="AE227" s="98"/>
      <c r="AF227" s="98"/>
      <c r="AG227" s="91"/>
      <c r="AH227" s="415">
        <f>1*0</f>
        <v>0</v>
      </c>
      <c r="AI227" s="299">
        <f>+AH227*G227*D227*0.17</f>
        <v>0</v>
      </c>
      <c r="AK227" s="301">
        <f t="shared" si="769"/>
        <v>0</v>
      </c>
      <c r="AL227" s="301">
        <f t="shared" si="770"/>
        <v>0</v>
      </c>
      <c r="AM227" s="301"/>
      <c r="AN227" s="301"/>
      <c r="AO227" s="299"/>
      <c r="AP227" s="301"/>
      <c r="AQ227" s="301"/>
    </row>
    <row r="228" spans="2:43" ht="20.100000000000001" customHeight="1" x14ac:dyDescent="0.3">
      <c r="B228" s="18"/>
      <c r="C228" s="62" t="s">
        <v>337</v>
      </c>
      <c r="D228" s="98">
        <v>0.33300000000000002</v>
      </c>
      <c r="E228" s="607">
        <f>-1*0</f>
        <v>0</v>
      </c>
      <c r="F228" s="607">
        <f>2*0</f>
        <v>0</v>
      </c>
      <c r="G228" s="20">
        <v>2.5</v>
      </c>
      <c r="H228" s="20">
        <f t="shared" ref="H228:H229" si="771">+D228</f>
        <v>0.33300000000000002</v>
      </c>
      <c r="I228" s="21"/>
      <c r="J228" s="81">
        <v>3</v>
      </c>
      <c r="K228" s="103">
        <f t="shared" ref="K228:K229" si="772">+IF(D228=0.667,E228*F228*G228*H228*J228,0)</f>
        <v>0</v>
      </c>
      <c r="L228" s="103">
        <f t="shared" ref="L228:L229" si="773">+IF(D228=0.333,E228*F228*G228*J228,0)</f>
        <v>0</v>
      </c>
      <c r="M228" s="81">
        <v>3</v>
      </c>
      <c r="N228" s="103">
        <f t="shared" ref="N228:N229" si="774">+IF(D228=0.667,E228*F228*G228*H228*M228,0)</f>
        <v>0</v>
      </c>
      <c r="O228" s="103">
        <f t="shared" ref="O228:O229" si="775">+IF(D228=0.333,E228*F228*G228*M228,0)</f>
        <v>0</v>
      </c>
      <c r="P228" s="81"/>
      <c r="Q228" s="103">
        <f t="shared" ref="Q228:Q229" si="776">+IF(D228=0.667,E228*F228*G228*H228*P228,0)</f>
        <v>0</v>
      </c>
      <c r="R228" s="103">
        <f t="shared" ref="R228:R229" si="777">+IF(D228=0.333,E228*F228*G228*P228,0)</f>
        <v>0</v>
      </c>
      <c r="S228" s="104">
        <f t="shared" si="767"/>
        <v>0</v>
      </c>
      <c r="T228" s="104">
        <f t="shared" si="768"/>
        <v>0</v>
      </c>
      <c r="U228" s="18"/>
      <c r="V228" s="26"/>
      <c r="W228" s="225">
        <f>+G228+D228</f>
        <v>2.8330000000000002</v>
      </c>
      <c r="X228" s="225">
        <v>0.5</v>
      </c>
      <c r="Y228" s="225">
        <f>+IF(D228=0.667,-E228*F228*H228*W228*X228,0)</f>
        <v>0</v>
      </c>
      <c r="Z228" s="225">
        <f>+IF(D228=0.333,-E228*F228*H228*W228*X228,0)</f>
        <v>0</v>
      </c>
      <c r="AA228" s="225">
        <f>+F228*G228*H228</f>
        <v>0</v>
      </c>
      <c r="AB228" s="225">
        <f t="shared" ref="AB228:AB229" si="778">2*F228*W228*X228</f>
        <v>0</v>
      </c>
      <c r="AC228" s="27"/>
      <c r="AD228" s="21"/>
      <c r="AE228" s="21">
        <f t="shared" ref="AE228:AE229" si="779">+IF(D228=0.667,AD228*W228*H228*F228,0)</f>
        <v>0</v>
      </c>
      <c r="AF228" s="21">
        <f t="shared" ref="AF228:AF229" si="780">+IF(D228=0.333,AD228*W228*H228*F228,0)</f>
        <v>0</v>
      </c>
      <c r="AG228" s="27"/>
      <c r="AH228" s="396"/>
      <c r="AI228" s="21">
        <f t="shared" ref="AI228:AI229" si="781">+AH228*G228*D228*0.17</f>
        <v>0</v>
      </c>
      <c r="AK228" s="301">
        <f t="shared" si="769"/>
        <v>0</v>
      </c>
      <c r="AL228" s="301">
        <f t="shared" si="770"/>
        <v>0</v>
      </c>
      <c r="AM228" s="301"/>
      <c r="AN228" s="301">
        <f>+IF(D228=0.333,1.33,0)*0</f>
        <v>0</v>
      </c>
      <c r="AO228" s="299"/>
      <c r="AP228" s="301"/>
      <c r="AQ228" s="301"/>
    </row>
    <row r="229" spans="2:43" ht="20.100000000000001" customHeight="1" x14ac:dyDescent="0.3">
      <c r="B229" s="18"/>
      <c r="C229" s="62" t="s">
        <v>341</v>
      </c>
      <c r="D229" s="98">
        <v>0.33300000000000002</v>
      </c>
      <c r="E229" s="607">
        <f>-1*0</f>
        <v>0</v>
      </c>
      <c r="F229" s="607">
        <f>1*0</f>
        <v>0</v>
      </c>
      <c r="G229" s="20">
        <v>3.25</v>
      </c>
      <c r="H229" s="20">
        <f t="shared" si="771"/>
        <v>0.33300000000000002</v>
      </c>
      <c r="I229" s="21"/>
      <c r="J229" s="81">
        <v>3</v>
      </c>
      <c r="K229" s="103">
        <f t="shared" si="772"/>
        <v>0</v>
      </c>
      <c r="L229" s="103">
        <f t="shared" si="773"/>
        <v>0</v>
      </c>
      <c r="M229" s="81">
        <v>3</v>
      </c>
      <c r="N229" s="103">
        <f t="shared" si="774"/>
        <v>0</v>
      </c>
      <c r="O229" s="103">
        <f t="shared" si="775"/>
        <v>0</v>
      </c>
      <c r="P229" s="81"/>
      <c r="Q229" s="103">
        <f t="shared" si="776"/>
        <v>0</v>
      </c>
      <c r="R229" s="103">
        <f t="shared" si="777"/>
        <v>0</v>
      </c>
      <c r="S229" s="104">
        <f t="shared" si="767"/>
        <v>0</v>
      </c>
      <c r="T229" s="104">
        <f t="shared" si="768"/>
        <v>0</v>
      </c>
      <c r="U229" s="18"/>
      <c r="V229" s="26"/>
      <c r="W229" s="225">
        <f>+G229+D229</f>
        <v>3.5830000000000002</v>
      </c>
      <c r="X229" s="225">
        <v>0.5</v>
      </c>
      <c r="Y229" s="225">
        <f>+IF(D229=0.667,-E229*F229*H229*W229*X229,0)</f>
        <v>0</v>
      </c>
      <c r="Z229" s="225">
        <f>+IF(D229=0.333,-E229*F229*H229*W229*X229,0)</f>
        <v>0</v>
      </c>
      <c r="AA229" s="225">
        <f>+F229*G229*H229</f>
        <v>0</v>
      </c>
      <c r="AB229" s="225">
        <f t="shared" si="778"/>
        <v>0</v>
      </c>
      <c r="AC229" s="27"/>
      <c r="AD229" s="21"/>
      <c r="AE229" s="21">
        <f t="shared" si="779"/>
        <v>0</v>
      </c>
      <c r="AF229" s="21">
        <f t="shared" si="780"/>
        <v>0</v>
      </c>
      <c r="AG229" s="27"/>
      <c r="AH229" s="396"/>
      <c r="AI229" s="21">
        <f t="shared" si="781"/>
        <v>0</v>
      </c>
      <c r="AK229" s="301">
        <f t="shared" si="769"/>
        <v>0</v>
      </c>
      <c r="AL229" s="301">
        <f t="shared" si="770"/>
        <v>0</v>
      </c>
      <c r="AM229" s="301"/>
      <c r="AN229" s="301">
        <f>+IF(D229=0.333,1.33,0)*0</f>
        <v>0</v>
      </c>
      <c r="AO229" s="299"/>
      <c r="AP229" s="301"/>
      <c r="AQ229" s="301"/>
    </row>
    <row r="230" spans="2:43" ht="20.100000000000001" customHeight="1" x14ac:dyDescent="0.3">
      <c r="B230" s="92"/>
      <c r="C230" s="95" t="s">
        <v>331</v>
      </c>
      <c r="D230" s="98">
        <v>0.66700000000000004</v>
      </c>
      <c r="E230" s="415">
        <f>1*0</f>
        <v>0</v>
      </c>
      <c r="F230" s="607">
        <f>1*0</f>
        <v>0</v>
      </c>
      <c r="G230" s="98">
        <f>(1.178+0.914+0.716)*3.281</f>
        <v>9.2130480000000006</v>
      </c>
      <c r="H230" s="98">
        <f>+D230</f>
        <v>0.66700000000000004</v>
      </c>
      <c r="I230" s="94">
        <v>2</v>
      </c>
      <c r="J230" s="99">
        <v>3</v>
      </c>
      <c r="K230" s="100">
        <f>+IF(D230=0.667,E230*F230*G230*H230*J230,0)</f>
        <v>0</v>
      </c>
      <c r="L230" s="100">
        <f>+IF(D230=0.333,E230*F230*G230*J230,0)</f>
        <v>0</v>
      </c>
      <c r="M230" s="99">
        <v>4</v>
      </c>
      <c r="N230" s="100">
        <f>+IF(D230=0.667,E230*F230*G230*H230*M230,0)</f>
        <v>0</v>
      </c>
      <c r="O230" s="100">
        <f>+IF(D230=0.333,E230*F230*G230*M230,0)</f>
        <v>0</v>
      </c>
      <c r="P230" s="81">
        <f>11.833-I230-M230-J230</f>
        <v>2.8330000000000002</v>
      </c>
      <c r="Q230" s="100">
        <f>+IF(D230=0.667,E230*F230*G230*H230*P230,0)</f>
        <v>0</v>
      </c>
      <c r="R230" s="100">
        <f>+IF(D230=0.333,E230*F230*G230*P230,0)</f>
        <v>0</v>
      </c>
      <c r="S230" s="101">
        <f t="shared" si="767"/>
        <v>0</v>
      </c>
      <c r="T230" s="101">
        <f t="shared" si="768"/>
        <v>0</v>
      </c>
      <c r="U230" s="92"/>
      <c r="V230" s="91"/>
      <c r="W230" s="102"/>
      <c r="X230" s="98"/>
      <c r="Y230" s="102"/>
      <c r="Z230" s="98"/>
      <c r="AA230" s="98"/>
      <c r="AB230" s="98"/>
      <c r="AC230" s="91"/>
      <c r="AD230" s="98"/>
      <c r="AE230" s="98"/>
      <c r="AF230" s="98"/>
      <c r="AG230" s="91"/>
      <c r="AH230" s="415">
        <f>1*0</f>
        <v>0</v>
      </c>
      <c r="AI230" s="299">
        <f>+AH230*G230*D230*0.17</f>
        <v>0</v>
      </c>
      <c r="AK230" s="301">
        <f t="shared" si="769"/>
        <v>0</v>
      </c>
      <c r="AL230" s="301">
        <f t="shared" si="770"/>
        <v>0</v>
      </c>
      <c r="AM230" s="301"/>
      <c r="AN230" s="301">
        <f>+IF(D230=0.333,1.33,0)</f>
        <v>0</v>
      </c>
      <c r="AO230" s="299"/>
      <c r="AP230" s="301"/>
      <c r="AQ230" s="301"/>
    </row>
    <row r="231" spans="2:43" ht="20.100000000000001" customHeight="1" x14ac:dyDescent="0.3">
      <c r="B231" s="369"/>
      <c r="C231" s="395"/>
      <c r="D231" s="371"/>
      <c r="E231" s="369"/>
      <c r="F231" s="369"/>
      <c r="G231" s="371"/>
      <c r="H231" s="371"/>
      <c r="I231" s="372"/>
      <c r="J231" s="371"/>
      <c r="K231" s="371"/>
      <c r="L231" s="371"/>
      <c r="M231" s="371"/>
      <c r="N231" s="371"/>
      <c r="O231" s="371"/>
      <c r="P231" s="371"/>
      <c r="Q231" s="371"/>
      <c r="R231" s="371"/>
      <c r="S231" s="371"/>
      <c r="T231" s="371"/>
      <c r="U231" s="369"/>
      <c r="V231" s="370"/>
      <c r="W231" s="372"/>
      <c r="X231" s="371"/>
      <c r="Y231" s="372"/>
      <c r="Z231" s="371"/>
      <c r="AA231" s="371"/>
      <c r="AB231" s="371"/>
      <c r="AC231" s="370"/>
      <c r="AD231" s="371"/>
      <c r="AE231" s="371"/>
      <c r="AF231" s="371"/>
      <c r="AG231" s="370"/>
      <c r="AH231" s="693"/>
      <c r="AI231" s="372"/>
      <c r="AK231" s="377"/>
      <c r="AL231" s="377"/>
      <c r="AM231" s="377"/>
      <c r="AN231" s="377"/>
      <c r="AO231" s="372"/>
      <c r="AP231" s="377"/>
      <c r="AQ231" s="377"/>
    </row>
    <row r="232" spans="2:43" ht="20.100000000000001" customHeight="1" x14ac:dyDescent="0.3">
      <c r="B232" s="369"/>
      <c r="C232" s="97" t="s">
        <v>367</v>
      </c>
      <c r="D232" s="371"/>
      <c r="E232" s="369"/>
      <c r="F232" s="369"/>
      <c r="G232" s="371"/>
      <c r="H232" s="371"/>
      <c r="I232" s="372"/>
      <c r="J232" s="371"/>
      <c r="K232" s="371"/>
      <c r="L232" s="371"/>
      <c r="M232" s="371"/>
      <c r="N232" s="371"/>
      <c r="O232" s="371"/>
      <c r="P232" s="371"/>
      <c r="Q232" s="371"/>
      <c r="R232" s="371"/>
      <c r="S232" s="371"/>
      <c r="T232" s="371"/>
      <c r="U232" s="369"/>
      <c r="V232" s="370"/>
      <c r="W232" s="372"/>
      <c r="X232" s="371"/>
      <c r="Y232" s="372"/>
      <c r="Z232" s="371"/>
      <c r="AA232" s="371"/>
      <c r="AB232" s="371"/>
      <c r="AC232" s="370"/>
      <c r="AD232" s="371"/>
      <c r="AE232" s="371"/>
      <c r="AF232" s="371"/>
      <c r="AG232" s="370"/>
      <c r="AH232" s="693"/>
      <c r="AI232" s="372"/>
      <c r="AK232" s="377"/>
      <c r="AL232" s="377"/>
      <c r="AM232" s="377"/>
      <c r="AN232" s="377"/>
      <c r="AO232" s="372"/>
      <c r="AP232" s="377"/>
      <c r="AQ232" s="377"/>
    </row>
    <row r="233" spans="2:43" ht="20.100000000000001" customHeight="1" x14ac:dyDescent="0.3">
      <c r="B233" s="92"/>
      <c r="C233" s="95" t="s">
        <v>31</v>
      </c>
      <c r="D233" s="98">
        <v>0.66700000000000004</v>
      </c>
      <c r="E233" s="92">
        <v>1</v>
      </c>
      <c r="F233" s="92">
        <v>1</v>
      </c>
      <c r="G233" s="671">
        <f>(3.556+2.244)*3.281</f>
        <v>19.029800000000002</v>
      </c>
      <c r="H233" s="98">
        <f>+D233</f>
        <v>0.66700000000000004</v>
      </c>
      <c r="I233" s="94">
        <v>2</v>
      </c>
      <c r="J233" s="99">
        <v>3</v>
      </c>
      <c r="K233" s="100">
        <f>+IF(D233=0.667,E233*F233*G233*H233*J233,0)</f>
        <v>38.078629800000002</v>
      </c>
      <c r="L233" s="100">
        <f>+IF(D233=0.333,E233*F233*G233*J233,0)</f>
        <v>0</v>
      </c>
      <c r="M233" s="99">
        <v>4</v>
      </c>
      <c r="N233" s="100">
        <f>+IF(D233=0.667,E233*F233*G233*H233*M233,0)</f>
        <v>50.771506400000007</v>
      </c>
      <c r="O233" s="100">
        <f>+IF(D233=0.333,E233*F233*G233*M233,0)</f>
        <v>0</v>
      </c>
      <c r="P233" s="81">
        <f t="shared" ref="P233:P234" si="782">11.833-I233-M233-J233</f>
        <v>2.8330000000000002</v>
      </c>
      <c r="Q233" s="100">
        <f>+IF(D233=0.667,E233*F233*G233*H233*P233,0)</f>
        <v>35.958919407800011</v>
      </c>
      <c r="R233" s="100">
        <f>+IF(D233=0.333,E233*F233*G233*P233,0)</f>
        <v>0</v>
      </c>
      <c r="S233" s="101">
        <f t="shared" ref="S233" si="783">+Q233+N233+K233</f>
        <v>124.80905560780002</v>
      </c>
      <c r="T233" s="101">
        <f t="shared" ref="T233" si="784">+R233+O233+L233</f>
        <v>0</v>
      </c>
      <c r="U233" s="92"/>
      <c r="V233" s="91"/>
      <c r="W233" s="102"/>
      <c r="X233" s="98"/>
      <c r="Y233" s="102"/>
      <c r="Z233" s="98"/>
      <c r="AA233" s="98"/>
      <c r="AB233" s="98"/>
      <c r="AC233" s="91"/>
      <c r="AD233" s="98"/>
      <c r="AE233" s="98"/>
      <c r="AF233" s="98"/>
      <c r="AG233" s="91"/>
      <c r="AH233" s="692">
        <v>1</v>
      </c>
      <c r="AI233" s="299">
        <f>+AH233*G233*D233*0.17</f>
        <v>2.1577890220000007</v>
      </c>
      <c r="AK233" s="301">
        <f t="shared" ref="AK233" si="785">+IF(D233=0.667,E233*F233*G233,0)</f>
        <v>19.029800000000002</v>
      </c>
      <c r="AL233" s="301">
        <f t="shared" ref="AL233" si="786">+IF(D233=0.333,E233*F233*G233,0)</f>
        <v>0</v>
      </c>
      <c r="AM233" s="301"/>
      <c r="AN233" s="301">
        <f>+IF(D233=0.333,1.33,0)</f>
        <v>0</v>
      </c>
      <c r="AO233" s="299"/>
      <c r="AP233" s="301"/>
      <c r="AQ233" s="301"/>
    </row>
    <row r="234" spans="2:43" ht="20.100000000000001" customHeight="1" x14ac:dyDescent="0.3">
      <c r="B234" s="92"/>
      <c r="C234" s="95" t="s">
        <v>557</v>
      </c>
      <c r="D234" s="98">
        <v>0.66700000000000004</v>
      </c>
      <c r="E234" s="92">
        <v>1</v>
      </c>
      <c r="F234" s="92">
        <v>1</v>
      </c>
      <c r="G234" s="671">
        <f>(3.356)*3.281*0+(4.145+7.426)*3.281</f>
        <v>37.964451000000004</v>
      </c>
      <c r="H234" s="98">
        <f>+D234</f>
        <v>0.66700000000000004</v>
      </c>
      <c r="I234" s="94">
        <v>2</v>
      </c>
      <c r="J234" s="99">
        <v>3</v>
      </c>
      <c r="K234" s="100">
        <f>+IF(D234=0.667,E234*F234*G234*H234*J234,0)</f>
        <v>75.966866451000016</v>
      </c>
      <c r="L234" s="100">
        <f>+IF(D234=0.333,E234*F234*G234*J234,0)</f>
        <v>0</v>
      </c>
      <c r="M234" s="99">
        <v>4</v>
      </c>
      <c r="N234" s="100">
        <f>+IF(D234=0.667,E234*F234*G234*H234*M234,0)</f>
        <v>101.28915526800002</v>
      </c>
      <c r="O234" s="100">
        <f>+IF(D234=0.333,E234*F234*G234*M234,0)</f>
        <v>0</v>
      </c>
      <c r="P234" s="81">
        <f t="shared" si="782"/>
        <v>2.8330000000000002</v>
      </c>
      <c r="Q234" s="100">
        <f>+IF(D234=0.667,E234*F234*G234*H234*P234,0)</f>
        <v>71.738044218561015</v>
      </c>
      <c r="R234" s="100">
        <f>+IF(D234=0.333,E234*F234*G234*P234,0)</f>
        <v>0</v>
      </c>
      <c r="S234" s="101">
        <f t="shared" ref="S234:S236" si="787">+Q234+N234+K234</f>
        <v>248.99406593756103</v>
      </c>
      <c r="T234" s="101">
        <f t="shared" ref="T234:T236" si="788">+R234+O234+L234</f>
        <v>0</v>
      </c>
      <c r="U234" s="92"/>
      <c r="V234" s="91"/>
      <c r="W234" s="102"/>
      <c r="X234" s="98"/>
      <c r="Y234" s="102"/>
      <c r="Z234" s="98"/>
      <c r="AA234" s="98"/>
      <c r="AB234" s="98"/>
      <c r="AC234" s="91"/>
      <c r="AD234" s="98"/>
      <c r="AE234" s="98"/>
      <c r="AF234" s="98"/>
      <c r="AG234" s="91"/>
      <c r="AH234" s="692">
        <v>1</v>
      </c>
      <c r="AI234" s="299">
        <f>+AH234*G234*D234*0.17</f>
        <v>4.3047890988900006</v>
      </c>
      <c r="AK234" s="301">
        <f t="shared" ref="AK234" si="789">+IF(D234=0.667,E234*F234*G234,0)</f>
        <v>37.964451000000004</v>
      </c>
      <c r="AL234" s="301">
        <f t="shared" ref="AL234:AL236" si="790">+IF(D234=0.333,E234*F234*G234,0)</f>
        <v>0</v>
      </c>
      <c r="AM234" s="301"/>
      <c r="AN234" s="301">
        <f>+IF(D234=0.333,1.33,0)</f>
        <v>0</v>
      </c>
      <c r="AO234" s="299"/>
      <c r="AP234" s="301"/>
      <c r="AQ234" s="301"/>
    </row>
    <row r="235" spans="2:43" ht="20.100000000000001" customHeight="1" x14ac:dyDescent="0.3">
      <c r="B235" s="92"/>
      <c r="C235" s="95" t="s">
        <v>558</v>
      </c>
      <c r="D235" s="98">
        <v>0.66700000000000004</v>
      </c>
      <c r="E235" s="92">
        <v>-1</v>
      </c>
      <c r="F235" s="92">
        <v>1</v>
      </c>
      <c r="G235" s="671">
        <v>6</v>
      </c>
      <c r="H235" s="98">
        <f t="shared" ref="H235" si="791">+D235</f>
        <v>0.66700000000000004</v>
      </c>
      <c r="I235" s="94"/>
      <c r="J235" s="99"/>
      <c r="K235" s="100">
        <f t="shared" ref="K235" si="792">+IF(D235=0.667,E235*F235*G235*H235*J235,0)</f>
        <v>0</v>
      </c>
      <c r="L235" s="100">
        <f t="shared" ref="L235" si="793">+IF(D235=0.333,E235*F235*G235*J235,0)</f>
        <v>0</v>
      </c>
      <c r="M235" s="99">
        <v>4</v>
      </c>
      <c r="N235" s="100">
        <f t="shared" ref="N235" si="794">+IF(D235=0.667,E235*F235*G235*H235*M235,0)</f>
        <v>-16.008000000000003</v>
      </c>
      <c r="O235" s="100">
        <f t="shared" ref="O235" si="795">+IF(D235=0.333,E235*F235*G235*M235,0)</f>
        <v>0</v>
      </c>
      <c r="P235" s="81">
        <v>0</v>
      </c>
      <c r="Q235" s="100">
        <f t="shared" ref="Q235" si="796">+IF(D235=0.667,E235*F235*G235*H235*P235,0)</f>
        <v>0</v>
      </c>
      <c r="R235" s="100">
        <f t="shared" ref="R235" si="797">+IF(D235=0.333,E235*F235*G235*P235,0)</f>
        <v>0</v>
      </c>
      <c r="S235" s="101">
        <f t="shared" si="787"/>
        <v>-16.008000000000003</v>
      </c>
      <c r="T235" s="101">
        <f t="shared" si="788"/>
        <v>0</v>
      </c>
      <c r="U235" s="92"/>
      <c r="V235" s="91"/>
      <c r="W235" s="454">
        <f>+G235+D235</f>
        <v>6.6669999999999998</v>
      </c>
      <c r="X235" s="690">
        <v>0.5</v>
      </c>
      <c r="Y235" s="454">
        <f>+IF(D235=0.667,-E235*F235*H235*W235*X235,0)</f>
        <v>2.2234445000000003</v>
      </c>
      <c r="Z235" s="690">
        <f>+IF(D235=0.333,-E235*F235*H235*W235*X235,0)</f>
        <v>0</v>
      </c>
      <c r="AA235" s="690">
        <f>+F235*G235*H235</f>
        <v>4.0020000000000007</v>
      </c>
      <c r="AB235" s="690">
        <f t="shared" ref="AB235" si="798">2*F235*W235*X235</f>
        <v>6.6669999999999998</v>
      </c>
      <c r="AC235" s="91"/>
      <c r="AD235" s="98">
        <v>0.16700000000000001</v>
      </c>
      <c r="AE235" s="98">
        <f t="shared" ref="AE235" si="799">+IF(D235=0.667,AD235*W235*H235*F235,0)</f>
        <v>0.74263046300000002</v>
      </c>
      <c r="AF235" s="98">
        <f t="shared" ref="AF235" si="800">+IF(D235=0.333,AD235*W235*H235*F235,0)</f>
        <v>0</v>
      </c>
      <c r="AG235" s="91"/>
      <c r="AH235" s="692"/>
      <c r="AI235" s="299">
        <f t="shared" ref="AI235" si="801">+AH235*G235*D235*0.17</f>
        <v>0</v>
      </c>
      <c r="AK235" s="301"/>
      <c r="AL235" s="301">
        <f t="shared" si="790"/>
        <v>0</v>
      </c>
      <c r="AM235" s="301"/>
      <c r="AN235" s="301"/>
      <c r="AO235" s="299"/>
      <c r="AP235" s="301"/>
      <c r="AQ235" s="301"/>
    </row>
    <row r="236" spans="2:43" ht="20.100000000000001" customHeight="1" x14ac:dyDescent="0.3">
      <c r="B236" s="92"/>
      <c r="C236" s="95" t="s">
        <v>38</v>
      </c>
      <c r="D236" s="98">
        <v>0.66700000000000004</v>
      </c>
      <c r="E236" s="92">
        <v>1</v>
      </c>
      <c r="F236" s="92">
        <v>1</v>
      </c>
      <c r="G236" s="671">
        <f>(2+1.644)*3.281</f>
        <v>11.955964000000002</v>
      </c>
      <c r="H236" s="98">
        <f>+D236</f>
        <v>0.66700000000000004</v>
      </c>
      <c r="I236" s="94">
        <v>2</v>
      </c>
      <c r="J236" s="99">
        <v>3</v>
      </c>
      <c r="K236" s="100">
        <f>+IF(D236=0.667,E236*F236*G236*H236*J236,0)</f>
        <v>23.923883964000005</v>
      </c>
      <c r="L236" s="100">
        <f>+IF(D236=0.333,E236*F236*G236*J236,0)</f>
        <v>0</v>
      </c>
      <c r="M236" s="99">
        <v>4</v>
      </c>
      <c r="N236" s="100">
        <f>+IF(D236=0.667,E236*F236*G236*H236*M236,0)</f>
        <v>31.898511952000007</v>
      </c>
      <c r="O236" s="100">
        <f>+IF(D236=0.333,E236*F236*G236*M236,0)</f>
        <v>0</v>
      </c>
      <c r="P236" s="81">
        <f>11.833-I236-M236-J236</f>
        <v>2.8330000000000002</v>
      </c>
      <c r="Q236" s="100">
        <f>+IF(D236=0.667,E236*F236*G236*H236*P236,0)</f>
        <v>22.592121090004007</v>
      </c>
      <c r="R236" s="100">
        <f>+IF(D236=0.333,E236*F236*G236*P236,0)</f>
        <v>0</v>
      </c>
      <c r="S236" s="101">
        <f t="shared" si="787"/>
        <v>78.414517006004019</v>
      </c>
      <c r="T236" s="101">
        <f t="shared" si="788"/>
        <v>0</v>
      </c>
      <c r="U236" s="92"/>
      <c r="V236" s="91"/>
      <c r="W236" s="102"/>
      <c r="X236" s="98"/>
      <c r="Y236" s="102"/>
      <c r="Z236" s="98"/>
      <c r="AA236" s="98"/>
      <c r="AB236" s="98"/>
      <c r="AC236" s="91"/>
      <c r="AD236" s="98"/>
      <c r="AE236" s="98"/>
      <c r="AF236" s="98"/>
      <c r="AG236" s="91"/>
      <c r="AH236" s="692">
        <v>1</v>
      </c>
      <c r="AI236" s="299">
        <f>+AH236*G236*D236*0.17</f>
        <v>1.3556867579600005</v>
      </c>
      <c r="AK236" s="301">
        <f t="shared" ref="AK236" si="802">+IF(D236=0.667,E236*F236*G236,0)</f>
        <v>11.955964000000002</v>
      </c>
      <c r="AL236" s="301">
        <f t="shared" si="790"/>
        <v>0</v>
      </c>
      <c r="AM236" s="301"/>
      <c r="AN236" s="301">
        <f>+IF(D236=0.333,1.33,0)</f>
        <v>0</v>
      </c>
      <c r="AO236" s="299"/>
      <c r="AP236" s="301"/>
      <c r="AQ236" s="301"/>
    </row>
    <row r="237" spans="2:43" ht="20.100000000000001" customHeight="1" x14ac:dyDescent="0.3">
      <c r="B237" s="369"/>
      <c r="C237" s="395"/>
      <c r="D237" s="371"/>
      <c r="E237" s="369"/>
      <c r="F237" s="369"/>
      <c r="G237" s="371"/>
      <c r="H237" s="371"/>
      <c r="I237" s="372"/>
      <c r="J237" s="371"/>
      <c r="K237" s="371"/>
      <c r="L237" s="371"/>
      <c r="M237" s="371"/>
      <c r="N237" s="371"/>
      <c r="O237" s="371"/>
      <c r="P237" s="371"/>
      <c r="Q237" s="371"/>
      <c r="R237" s="371"/>
      <c r="S237" s="371"/>
      <c r="T237" s="371"/>
      <c r="U237" s="369"/>
      <c r="V237" s="370"/>
      <c r="W237" s="372"/>
      <c r="X237" s="371"/>
      <c r="Y237" s="372"/>
      <c r="Z237" s="371"/>
      <c r="AA237" s="371"/>
      <c r="AB237" s="371"/>
      <c r="AC237" s="370"/>
      <c r="AD237" s="371"/>
      <c r="AE237" s="371"/>
      <c r="AF237" s="371"/>
      <c r="AG237" s="370"/>
      <c r="AH237" s="693"/>
      <c r="AI237" s="372"/>
      <c r="AK237" s="377"/>
      <c r="AL237" s="377"/>
      <c r="AM237" s="377"/>
      <c r="AN237" s="377"/>
      <c r="AO237" s="372"/>
      <c r="AP237" s="377"/>
      <c r="AQ237" s="377"/>
    </row>
    <row r="238" spans="2:43" ht="20.100000000000001" customHeight="1" x14ac:dyDescent="0.3">
      <c r="B238" s="92"/>
      <c r="C238" s="97" t="s">
        <v>332</v>
      </c>
      <c r="D238" s="98"/>
      <c r="E238" s="92"/>
      <c r="F238" s="92"/>
      <c r="G238" s="98"/>
      <c r="H238" s="98"/>
      <c r="I238" s="94"/>
      <c r="J238" s="92"/>
      <c r="K238" s="92"/>
      <c r="L238" s="92"/>
      <c r="M238" s="92"/>
      <c r="N238" s="92"/>
      <c r="O238" s="92"/>
      <c r="P238" s="92"/>
      <c r="Q238" s="92"/>
      <c r="R238" s="92"/>
      <c r="S238" s="92"/>
      <c r="T238" s="92"/>
      <c r="U238" s="92"/>
      <c r="V238" s="91"/>
      <c r="W238" s="102"/>
      <c r="X238" s="98"/>
      <c r="Y238" s="102"/>
      <c r="Z238" s="98"/>
      <c r="AA238" s="98"/>
      <c r="AB238" s="98"/>
      <c r="AC238" s="91"/>
      <c r="AD238" s="98"/>
      <c r="AE238" s="98"/>
      <c r="AF238" s="98"/>
      <c r="AG238" s="91"/>
      <c r="AH238" s="692"/>
      <c r="AI238" s="299"/>
      <c r="AK238" s="301">
        <f t="shared" ref="AK238:AK242" si="803">+IF(D238=0.667,E238*F238*G238,0)</f>
        <v>0</v>
      </c>
      <c r="AL238" s="301">
        <f t="shared" ref="AL238:AL242" si="804">+IF(D238=0.333,E238*F238*G238,0)</f>
        <v>0</v>
      </c>
      <c r="AM238" s="301"/>
      <c r="AN238" s="301">
        <f>+IF(D238=0.333,1.33,0)</f>
        <v>0</v>
      </c>
      <c r="AO238" s="299"/>
      <c r="AP238" s="301">
        <f t="shared" ref="AP238" si="805">+S238</f>
        <v>0</v>
      </c>
      <c r="AQ238" s="301"/>
    </row>
    <row r="239" spans="2:43" ht="20.100000000000001" customHeight="1" x14ac:dyDescent="0.3">
      <c r="B239" s="92"/>
      <c r="C239" s="95" t="s">
        <v>33</v>
      </c>
      <c r="D239" s="98">
        <v>0.66700000000000004</v>
      </c>
      <c r="E239" s="92">
        <v>1</v>
      </c>
      <c r="F239" s="92">
        <v>1</v>
      </c>
      <c r="G239" s="671">
        <f>+(2.135*3.281)</f>
        <v>7.0049349999999997</v>
      </c>
      <c r="H239" s="98">
        <f>+D239</f>
        <v>0.66700000000000004</v>
      </c>
      <c r="I239" s="94">
        <v>2</v>
      </c>
      <c r="J239" s="99">
        <v>3</v>
      </c>
      <c r="K239" s="100">
        <f>+IF(D239=0.667,E239*F239*G239*H239*J239,0)</f>
        <v>14.016874935000001</v>
      </c>
      <c r="L239" s="100">
        <f>+IF(D239=0.333,E239*F239*G239*J239,0)</f>
        <v>0</v>
      </c>
      <c r="M239" s="99">
        <v>4</v>
      </c>
      <c r="N239" s="100">
        <f>+IF(D239=0.667,E239*F239*G239*H239*M239,0)</f>
        <v>18.689166580000002</v>
      </c>
      <c r="O239" s="100">
        <f>+IF(D239=0.333,E239*F239*G239*M239,0)</f>
        <v>0</v>
      </c>
      <c r="P239" s="81">
        <f>11.833-I239-M239-J239</f>
        <v>2.8330000000000002</v>
      </c>
      <c r="Q239" s="100">
        <f>+IF(D239=0.667,E239*F239*G239*H239*P239,0)</f>
        <v>13.236602230285003</v>
      </c>
      <c r="R239" s="100">
        <f>+IF(D239=0.333,E239*F239*G239*P239,0)</f>
        <v>0</v>
      </c>
      <c r="S239" s="101">
        <f t="shared" ref="S239:S242" si="806">+Q239+N239+K239</f>
        <v>45.942643745285011</v>
      </c>
      <c r="T239" s="101">
        <f t="shared" ref="T239:T242" si="807">+R239+O239+L239</f>
        <v>0</v>
      </c>
      <c r="U239" s="92"/>
      <c r="V239" s="91"/>
      <c r="W239" s="102"/>
      <c r="X239" s="98"/>
      <c r="Y239" s="102"/>
      <c r="Z239" s="98"/>
      <c r="AA239" s="98"/>
      <c r="AB239" s="98"/>
      <c r="AC239" s="91"/>
      <c r="AD239" s="98"/>
      <c r="AE239" s="98"/>
      <c r="AF239" s="98"/>
      <c r="AG239" s="91"/>
      <c r="AH239" s="692">
        <v>1</v>
      </c>
      <c r="AI239" s="299">
        <f>+AH239*G239*D239*0.17</f>
        <v>0.79428957965000013</v>
      </c>
      <c r="AK239" s="301">
        <f t="shared" si="803"/>
        <v>7.0049349999999997</v>
      </c>
      <c r="AL239" s="301">
        <f t="shared" si="804"/>
        <v>0</v>
      </c>
      <c r="AM239" s="301"/>
      <c r="AN239" s="301">
        <f>+IF(D239=0.333,1.33,0)</f>
        <v>0</v>
      </c>
      <c r="AO239" s="299"/>
      <c r="AP239" s="301">
        <f>+S239</f>
        <v>45.942643745285011</v>
      </c>
      <c r="AQ239" s="301"/>
    </row>
    <row r="240" spans="2:43" ht="20.100000000000001" customHeight="1" x14ac:dyDescent="0.3">
      <c r="B240" s="18"/>
      <c r="C240" s="62" t="s">
        <v>130</v>
      </c>
      <c r="D240" s="98">
        <v>0.66700000000000004</v>
      </c>
      <c r="E240" s="18">
        <v>-1</v>
      </c>
      <c r="F240" s="18">
        <v>1</v>
      </c>
      <c r="G240" s="674">
        <v>3</v>
      </c>
      <c r="H240" s="20">
        <f t="shared" ref="H240" si="808">+D240</f>
        <v>0.66700000000000004</v>
      </c>
      <c r="I240" s="21"/>
      <c r="J240" s="22">
        <v>3</v>
      </c>
      <c r="K240" s="103">
        <f t="shared" ref="K240" si="809">+IF(D240=0.667,E240*F240*G240*H240*J240,0)</f>
        <v>-6.003000000000001</v>
      </c>
      <c r="L240" s="103">
        <f t="shared" ref="L240" si="810">+IF(D240=0.333,E240*F240*G240*J240,0)</f>
        <v>0</v>
      </c>
      <c r="M240" s="81">
        <v>4</v>
      </c>
      <c r="N240" s="103">
        <f t="shared" ref="N240" si="811">+IF(D240=0.667,E240*F240*G240*H240*M240,0)</f>
        <v>-8.0040000000000013</v>
      </c>
      <c r="O240" s="103">
        <f t="shared" ref="O240" si="812">+IF(D240=0.333,E240*F240*G240*M240,0)</f>
        <v>0</v>
      </c>
      <c r="P240" s="81"/>
      <c r="Q240" s="103">
        <f t="shared" ref="Q240" si="813">+IF(D240=0.667,E240*F240*G240*H240*P240,0)</f>
        <v>0</v>
      </c>
      <c r="R240" s="103">
        <f t="shared" ref="R240" si="814">+IF(D240=0.333,E240*F240*G240*P240,0)</f>
        <v>0</v>
      </c>
      <c r="S240" s="104">
        <f t="shared" si="806"/>
        <v>-14.007000000000001</v>
      </c>
      <c r="T240" s="104">
        <f t="shared" si="807"/>
        <v>0</v>
      </c>
      <c r="U240" s="18"/>
      <c r="V240" s="26"/>
      <c r="W240" s="225">
        <f>+G240+D240</f>
        <v>3.6669999999999998</v>
      </c>
      <c r="X240" s="225">
        <v>0.5</v>
      </c>
      <c r="Y240" s="225">
        <f>+IF(D240=0.667,-E240*F240*H240*W240*X240,0)</f>
        <v>1.2229445000000001</v>
      </c>
      <c r="Z240" s="225">
        <f>+IF(D240=0.333,-E240*F240*H240*W240*X240,0)</f>
        <v>0</v>
      </c>
      <c r="AA240" s="225">
        <f>+F240*G240*H240</f>
        <v>2.0010000000000003</v>
      </c>
      <c r="AB240" s="225">
        <f t="shared" ref="AB240" si="815">2*F240*W240*X240</f>
        <v>3.6669999999999998</v>
      </c>
      <c r="AC240" s="27"/>
      <c r="AD240" s="21"/>
      <c r="AE240" s="21"/>
      <c r="AF240" s="21"/>
      <c r="AG240" s="27"/>
      <c r="AH240" s="306"/>
      <c r="AI240" s="299"/>
      <c r="AK240" s="301">
        <f t="shared" si="803"/>
        <v>-3</v>
      </c>
      <c r="AL240" s="301">
        <f t="shared" si="804"/>
        <v>0</v>
      </c>
      <c r="AM240" s="301"/>
      <c r="AN240" s="301"/>
      <c r="AO240" s="299"/>
      <c r="AP240" s="301">
        <f t="shared" ref="AP240:AP242" si="816">+S240</f>
        <v>-14.007000000000001</v>
      </c>
      <c r="AQ240" s="301"/>
    </row>
    <row r="241" spans="2:43" ht="20.100000000000001" customHeight="1" x14ac:dyDescent="0.3">
      <c r="B241" s="92"/>
      <c r="C241" s="95" t="s">
        <v>38</v>
      </c>
      <c r="D241" s="98">
        <v>0.66700000000000004</v>
      </c>
      <c r="E241" s="92">
        <v>1</v>
      </c>
      <c r="F241" s="92">
        <v>1</v>
      </c>
      <c r="G241" s="671">
        <f>(1.8)*3.281</f>
        <v>5.9058000000000002</v>
      </c>
      <c r="H241" s="98">
        <f>+D241</f>
        <v>0.66700000000000004</v>
      </c>
      <c r="I241" s="94">
        <v>2</v>
      </c>
      <c r="J241" s="99">
        <v>3</v>
      </c>
      <c r="K241" s="100">
        <f>+IF(D241=0.667,E241*F241*G241*H241*J241,0)</f>
        <v>11.817505800000001</v>
      </c>
      <c r="L241" s="100">
        <f>+IF(D241=0.333,E241*F241*G241*J241,0)</f>
        <v>0</v>
      </c>
      <c r="M241" s="99">
        <v>4</v>
      </c>
      <c r="N241" s="100">
        <f>+IF(D241=0.667,E241*F241*G241*H241*M241,0)</f>
        <v>15.756674400000001</v>
      </c>
      <c r="O241" s="100">
        <f>+IF(D241=0.333,E241*F241*G241*M241,0)</f>
        <v>0</v>
      </c>
      <c r="P241" s="81">
        <f t="shared" ref="P241:P242" si="817">11.833-I241-M241-J241</f>
        <v>2.8330000000000002</v>
      </c>
      <c r="Q241" s="100">
        <f>+IF(D241=0.667,E241*F241*G241*H241*P241,0)</f>
        <v>11.159664643800001</v>
      </c>
      <c r="R241" s="100">
        <f>+IF(D241=0.333,E241*F241*G241*P241,0)</f>
        <v>0</v>
      </c>
      <c r="S241" s="101">
        <f t="shared" si="806"/>
        <v>38.7338448438</v>
      </c>
      <c r="T241" s="101">
        <f t="shared" si="807"/>
        <v>0</v>
      </c>
      <c r="U241" s="92"/>
      <c r="V241" s="91"/>
      <c r="W241" s="102"/>
      <c r="X241" s="98"/>
      <c r="Y241" s="102"/>
      <c r="Z241" s="98"/>
      <c r="AA241" s="98"/>
      <c r="AB241" s="98"/>
      <c r="AC241" s="91"/>
      <c r="AD241" s="98"/>
      <c r="AE241" s="98"/>
      <c r="AF241" s="98"/>
      <c r="AG241" s="91"/>
      <c r="AH241" s="460">
        <v>1</v>
      </c>
      <c r="AI241" s="299">
        <f>+AH241*G241*D241*0.17</f>
        <v>0.66965866200000013</v>
      </c>
      <c r="AK241" s="301">
        <f t="shared" si="803"/>
        <v>5.9058000000000002</v>
      </c>
      <c r="AL241" s="301">
        <f t="shared" si="804"/>
        <v>0</v>
      </c>
      <c r="AM241" s="301"/>
      <c r="AN241" s="301"/>
      <c r="AO241" s="299"/>
      <c r="AP241" s="301">
        <f t="shared" si="816"/>
        <v>38.7338448438</v>
      </c>
      <c r="AQ241" s="301"/>
    </row>
    <row r="242" spans="2:43" ht="20.100000000000001" customHeight="1" x14ac:dyDescent="0.3">
      <c r="B242" s="92"/>
      <c r="C242" s="95" t="s">
        <v>32</v>
      </c>
      <c r="D242" s="98">
        <v>0.66700000000000004</v>
      </c>
      <c r="E242" s="92">
        <v>1</v>
      </c>
      <c r="F242" s="92">
        <v>1</v>
      </c>
      <c r="G242" s="671">
        <f>(2.135)*3.281</f>
        <v>7.0049349999999997</v>
      </c>
      <c r="H242" s="98">
        <f>+D242</f>
        <v>0.66700000000000004</v>
      </c>
      <c r="I242" s="94">
        <v>2</v>
      </c>
      <c r="J242" s="99">
        <v>3</v>
      </c>
      <c r="K242" s="100">
        <f>+IF(D242=0.667,E242*F242*G242*H242*J242,0)</f>
        <v>14.016874935000001</v>
      </c>
      <c r="L242" s="100">
        <f>+IF(D242=0.333,E242*F242*G242*J242,0)</f>
        <v>0</v>
      </c>
      <c r="M242" s="99">
        <v>4</v>
      </c>
      <c r="N242" s="100">
        <f>+IF(D242=0.667,E242*F242*G242*H242*M242,0)</f>
        <v>18.689166580000002</v>
      </c>
      <c r="O242" s="100">
        <f>+IF(D242=0.333,E242*F242*G242*M242,0)</f>
        <v>0</v>
      </c>
      <c r="P242" s="81">
        <f t="shared" si="817"/>
        <v>2.8330000000000002</v>
      </c>
      <c r="Q242" s="100">
        <f>+IF(D242=0.667,E242*F242*G242*H242*P242,0)</f>
        <v>13.236602230285003</v>
      </c>
      <c r="R242" s="100">
        <f>+IF(D242=0.333,E242*F242*G242*P242,0)</f>
        <v>0</v>
      </c>
      <c r="S242" s="101">
        <f t="shared" si="806"/>
        <v>45.942643745285011</v>
      </c>
      <c r="T242" s="101">
        <f t="shared" si="807"/>
        <v>0</v>
      </c>
      <c r="U242" s="92"/>
      <c r="V242" s="91"/>
      <c r="W242" s="102"/>
      <c r="X242" s="98"/>
      <c r="Y242" s="102"/>
      <c r="Z242" s="98"/>
      <c r="AA242" s="98"/>
      <c r="AB242" s="98"/>
      <c r="AC242" s="91"/>
      <c r="AD242" s="98"/>
      <c r="AE242" s="98"/>
      <c r="AF242" s="98"/>
      <c r="AG242" s="91"/>
      <c r="AH242" s="460">
        <v>1</v>
      </c>
      <c r="AI242" s="299">
        <f>+AH242*G242*D242*0.17</f>
        <v>0.79428957965000013</v>
      </c>
      <c r="AK242" s="301">
        <f t="shared" si="803"/>
        <v>7.0049349999999997</v>
      </c>
      <c r="AL242" s="301">
        <f t="shared" si="804"/>
        <v>0</v>
      </c>
      <c r="AM242" s="301"/>
      <c r="AN242" s="301"/>
      <c r="AO242" s="299"/>
      <c r="AP242" s="301">
        <f t="shared" si="816"/>
        <v>45.942643745285011</v>
      </c>
      <c r="AQ242" s="301"/>
    </row>
    <row r="243" spans="2:43" ht="20.100000000000001" customHeight="1" x14ac:dyDescent="0.3">
      <c r="B243" s="369"/>
      <c r="C243" s="395"/>
      <c r="D243" s="371"/>
      <c r="E243" s="369"/>
      <c r="F243" s="369"/>
      <c r="G243" s="371"/>
      <c r="H243" s="371"/>
      <c r="I243" s="372"/>
      <c r="J243" s="371"/>
      <c r="K243" s="371"/>
      <c r="L243" s="371"/>
      <c r="M243" s="371"/>
      <c r="N243" s="371"/>
      <c r="O243" s="371"/>
      <c r="P243" s="371"/>
      <c r="Q243" s="371"/>
      <c r="R243" s="371"/>
      <c r="S243" s="371"/>
      <c r="T243" s="371"/>
      <c r="U243" s="369"/>
      <c r="V243" s="370"/>
      <c r="W243" s="372"/>
      <c r="X243" s="371"/>
      <c r="Y243" s="372"/>
      <c r="Z243" s="371"/>
      <c r="AA243" s="371"/>
      <c r="AB243" s="371"/>
      <c r="AC243" s="370"/>
      <c r="AD243" s="371"/>
      <c r="AE243" s="371"/>
      <c r="AF243" s="371"/>
      <c r="AG243" s="370"/>
      <c r="AH243" s="693"/>
      <c r="AI243" s="372"/>
      <c r="AK243" s="377"/>
      <c r="AL243" s="377"/>
      <c r="AM243" s="377"/>
      <c r="AN243" s="377"/>
      <c r="AO243" s="372"/>
      <c r="AP243" s="377"/>
      <c r="AQ243" s="377"/>
    </row>
    <row r="244" spans="2:43" ht="20.100000000000001" customHeight="1" x14ac:dyDescent="0.3">
      <c r="B244" s="92"/>
      <c r="C244" s="97" t="s">
        <v>332</v>
      </c>
      <c r="D244" s="98"/>
      <c r="E244" s="92"/>
      <c r="F244" s="92"/>
      <c r="G244" s="98"/>
      <c r="H244" s="98"/>
      <c r="I244" s="94"/>
      <c r="J244" s="92"/>
      <c r="K244" s="92"/>
      <c r="L244" s="92"/>
      <c r="M244" s="92"/>
      <c r="N244" s="92"/>
      <c r="O244" s="92"/>
      <c r="P244" s="92"/>
      <c r="Q244" s="92"/>
      <c r="R244" s="92"/>
      <c r="S244" s="92"/>
      <c r="T244" s="92"/>
      <c r="U244" s="92"/>
      <c r="V244" s="91"/>
      <c r="W244" s="102"/>
      <c r="X244" s="98"/>
      <c r="Y244" s="102"/>
      <c r="Z244" s="98"/>
      <c r="AA244" s="98"/>
      <c r="AB244" s="98"/>
      <c r="AC244" s="91"/>
      <c r="AD244" s="98"/>
      <c r="AE244" s="98"/>
      <c r="AF244" s="98"/>
      <c r="AG244" s="91"/>
      <c r="AH244" s="692"/>
      <c r="AI244" s="299"/>
      <c r="AK244" s="301">
        <f t="shared" ref="AK244:AK248" si="818">+IF(D244=0.667,E244*F244*G244,0)</f>
        <v>0</v>
      </c>
      <c r="AL244" s="301">
        <f t="shared" ref="AL244:AL248" si="819">+IF(D244=0.333,E244*F244*G244,0)</f>
        <v>0</v>
      </c>
      <c r="AM244" s="301"/>
      <c r="AN244" s="301">
        <f>+IF(D244=0.333,1.33,0)</f>
        <v>0</v>
      </c>
      <c r="AO244" s="299"/>
      <c r="AP244" s="301">
        <f t="shared" ref="AP244" si="820">+S244</f>
        <v>0</v>
      </c>
      <c r="AQ244" s="301"/>
    </row>
    <row r="245" spans="2:43" ht="20.100000000000001" customHeight="1" x14ac:dyDescent="0.3">
      <c r="B245" s="92"/>
      <c r="C245" s="95" t="s">
        <v>33</v>
      </c>
      <c r="D245" s="98">
        <v>0.66700000000000004</v>
      </c>
      <c r="E245" s="92">
        <v>1</v>
      </c>
      <c r="F245" s="92">
        <v>1</v>
      </c>
      <c r="G245" s="671">
        <f>+(2.135*3.281)</f>
        <v>7.0049349999999997</v>
      </c>
      <c r="H245" s="98">
        <f>+D245</f>
        <v>0.66700000000000004</v>
      </c>
      <c r="I245" s="94">
        <v>2</v>
      </c>
      <c r="J245" s="99">
        <v>3</v>
      </c>
      <c r="K245" s="100">
        <f>+IF(D245=0.667,E245*F245*G245*H245*J245,0)</f>
        <v>14.016874935000001</v>
      </c>
      <c r="L245" s="100">
        <f>+IF(D245=0.333,E245*F245*G245*J245,0)</f>
        <v>0</v>
      </c>
      <c r="M245" s="99">
        <v>4</v>
      </c>
      <c r="N245" s="100">
        <f>+IF(D245=0.667,E245*F245*G245*H245*M245,0)</f>
        <v>18.689166580000002</v>
      </c>
      <c r="O245" s="100">
        <f>+IF(D245=0.333,E245*F245*G245*M245,0)</f>
        <v>0</v>
      </c>
      <c r="P245" s="81">
        <f>11.833-I245-M245-J245</f>
        <v>2.8330000000000002</v>
      </c>
      <c r="Q245" s="100">
        <f>+IF(D245=0.667,E245*F245*G245*H245*P245,0)</f>
        <v>13.236602230285003</v>
      </c>
      <c r="R245" s="100">
        <f>+IF(D245=0.333,E245*F245*G245*P245,0)</f>
        <v>0</v>
      </c>
      <c r="S245" s="101">
        <f t="shared" ref="S245:S248" si="821">+Q245+N245+K245</f>
        <v>45.942643745285011</v>
      </c>
      <c r="T245" s="101">
        <f t="shared" ref="T245:T248" si="822">+R245+O245+L245</f>
        <v>0</v>
      </c>
      <c r="U245" s="92"/>
      <c r="V245" s="91"/>
      <c r="W245" s="102"/>
      <c r="X245" s="98"/>
      <c r="Y245" s="102"/>
      <c r="Z245" s="98"/>
      <c r="AA245" s="98"/>
      <c r="AB245" s="98"/>
      <c r="AC245" s="91"/>
      <c r="AD245" s="98"/>
      <c r="AE245" s="98"/>
      <c r="AF245" s="98"/>
      <c r="AG245" s="91"/>
      <c r="AH245" s="692">
        <v>1</v>
      </c>
      <c r="AI245" s="299">
        <f>+AH245*G245*D245*0.17</f>
        <v>0.79428957965000013</v>
      </c>
      <c r="AK245" s="301">
        <f t="shared" si="818"/>
        <v>7.0049349999999997</v>
      </c>
      <c r="AL245" s="301">
        <f t="shared" si="819"/>
        <v>0</v>
      </c>
      <c r="AM245" s="301"/>
      <c r="AN245" s="301">
        <f>+IF(D245=0.333,1.33,0)</f>
        <v>0</v>
      </c>
      <c r="AO245" s="299"/>
      <c r="AP245" s="301">
        <f>+S245</f>
        <v>45.942643745285011</v>
      </c>
      <c r="AQ245" s="301"/>
    </row>
    <row r="246" spans="2:43" ht="20.100000000000001" customHeight="1" x14ac:dyDescent="0.3">
      <c r="B246" s="18"/>
      <c r="C246" s="62" t="s">
        <v>130</v>
      </c>
      <c r="D246" s="98">
        <v>0.66700000000000004</v>
      </c>
      <c r="E246" s="18">
        <v>-1</v>
      </c>
      <c r="F246" s="18">
        <v>1</v>
      </c>
      <c r="G246" s="674">
        <v>3</v>
      </c>
      <c r="H246" s="20">
        <f t="shared" ref="H246" si="823">+D246</f>
        <v>0.66700000000000004</v>
      </c>
      <c r="I246" s="21"/>
      <c r="J246" s="22">
        <v>3</v>
      </c>
      <c r="K246" s="103">
        <f t="shared" ref="K246" si="824">+IF(D246=0.667,E246*F246*G246*H246*J246,0)</f>
        <v>-6.003000000000001</v>
      </c>
      <c r="L246" s="103">
        <f t="shared" ref="L246" si="825">+IF(D246=0.333,E246*F246*G246*J246,0)</f>
        <v>0</v>
      </c>
      <c r="M246" s="81">
        <v>4</v>
      </c>
      <c r="N246" s="103">
        <f t="shared" ref="N246" si="826">+IF(D246=0.667,E246*F246*G246*H246*M246,0)</f>
        <v>-8.0040000000000013</v>
      </c>
      <c r="O246" s="103">
        <f t="shared" ref="O246" si="827">+IF(D246=0.333,E246*F246*G246*M246,0)</f>
        <v>0</v>
      </c>
      <c r="P246" s="81"/>
      <c r="Q246" s="103">
        <f t="shared" ref="Q246" si="828">+IF(D246=0.667,E246*F246*G246*H246*P246,0)</f>
        <v>0</v>
      </c>
      <c r="R246" s="103">
        <f t="shared" ref="R246" si="829">+IF(D246=0.333,E246*F246*G246*P246,0)</f>
        <v>0</v>
      </c>
      <c r="S246" s="104">
        <f t="shared" si="821"/>
        <v>-14.007000000000001</v>
      </c>
      <c r="T246" s="104">
        <f t="shared" si="822"/>
        <v>0</v>
      </c>
      <c r="U246" s="18"/>
      <c r="V246" s="26"/>
      <c r="W246" s="225">
        <f>+G246+D246</f>
        <v>3.6669999999999998</v>
      </c>
      <c r="X246" s="225">
        <v>0.5</v>
      </c>
      <c r="Y246" s="225">
        <f>+IF(D246=0.667,-E246*F246*H246*W246*X246,0)</f>
        <v>1.2229445000000001</v>
      </c>
      <c r="Z246" s="225">
        <f>+IF(D246=0.333,-E246*F246*H246*W246*X246,0)</f>
        <v>0</v>
      </c>
      <c r="AA246" s="225">
        <f>+F246*G246*H246</f>
        <v>2.0010000000000003</v>
      </c>
      <c r="AB246" s="225">
        <f t="shared" ref="AB246" si="830">2*F246*W246*X246</f>
        <v>3.6669999999999998</v>
      </c>
      <c r="AC246" s="27"/>
      <c r="AD246" s="21"/>
      <c r="AE246" s="21"/>
      <c r="AF246" s="21"/>
      <c r="AG246" s="27"/>
      <c r="AH246" s="306"/>
      <c r="AI246" s="299"/>
      <c r="AK246" s="301">
        <f t="shared" si="818"/>
        <v>-3</v>
      </c>
      <c r="AL246" s="301">
        <f t="shared" si="819"/>
        <v>0</v>
      </c>
      <c r="AM246" s="301"/>
      <c r="AN246" s="301"/>
      <c r="AO246" s="299"/>
      <c r="AP246" s="301">
        <f t="shared" ref="AP246:AP248" si="831">+S246</f>
        <v>-14.007000000000001</v>
      </c>
      <c r="AQ246" s="301"/>
    </row>
    <row r="247" spans="2:43" ht="20.100000000000001" customHeight="1" x14ac:dyDescent="0.3">
      <c r="B247" s="92"/>
      <c r="C247" s="95" t="s">
        <v>38</v>
      </c>
      <c r="D247" s="98">
        <v>0.66700000000000004</v>
      </c>
      <c r="E247" s="92">
        <v>1</v>
      </c>
      <c r="F247" s="92">
        <v>1</v>
      </c>
      <c r="G247" s="671">
        <f>(1.35)*3.281</f>
        <v>4.4293500000000003</v>
      </c>
      <c r="H247" s="98">
        <f>+D247</f>
        <v>0.66700000000000004</v>
      </c>
      <c r="I247" s="94">
        <v>2</v>
      </c>
      <c r="J247" s="99">
        <v>3</v>
      </c>
      <c r="K247" s="100">
        <f>+IF(D247=0.667,E247*F247*G247*H247*J247,0)</f>
        <v>8.8631293500000012</v>
      </c>
      <c r="L247" s="100">
        <f>+IF(D247=0.333,E247*F247*G247*J247,0)</f>
        <v>0</v>
      </c>
      <c r="M247" s="99">
        <v>4</v>
      </c>
      <c r="N247" s="100">
        <f>+IF(D247=0.667,E247*F247*G247*H247*M247,0)</f>
        <v>11.817505800000001</v>
      </c>
      <c r="O247" s="100">
        <f>+IF(D247=0.333,E247*F247*G247*M247,0)</f>
        <v>0</v>
      </c>
      <c r="P247" s="81">
        <f t="shared" ref="P247:P248" si="832">11.833-I247-M247-J247</f>
        <v>2.8330000000000002</v>
      </c>
      <c r="Q247" s="100">
        <f>+IF(D247=0.667,E247*F247*G247*H247*P247,0)</f>
        <v>8.3697484828500013</v>
      </c>
      <c r="R247" s="100">
        <f>+IF(D247=0.333,E247*F247*G247*P247,0)</f>
        <v>0</v>
      </c>
      <c r="S247" s="101">
        <f t="shared" si="821"/>
        <v>29.050383632850004</v>
      </c>
      <c r="T247" s="101">
        <f t="shared" si="822"/>
        <v>0</v>
      </c>
      <c r="U247" s="92"/>
      <c r="V247" s="91"/>
      <c r="W247" s="102"/>
      <c r="X247" s="98"/>
      <c r="Y247" s="102"/>
      <c r="Z247" s="98"/>
      <c r="AA247" s="98"/>
      <c r="AB247" s="98"/>
      <c r="AC247" s="91"/>
      <c r="AD247" s="98"/>
      <c r="AE247" s="98"/>
      <c r="AF247" s="98"/>
      <c r="AG247" s="91"/>
      <c r="AH247" s="460">
        <v>1</v>
      </c>
      <c r="AI247" s="299">
        <f>+AH247*G247*D247*0.17</f>
        <v>0.50224399650000007</v>
      </c>
      <c r="AK247" s="301">
        <f t="shared" si="818"/>
        <v>4.4293500000000003</v>
      </c>
      <c r="AL247" s="301">
        <f t="shared" si="819"/>
        <v>0</v>
      </c>
      <c r="AM247" s="301"/>
      <c r="AN247" s="301"/>
      <c r="AO247" s="299"/>
      <c r="AP247" s="301">
        <f t="shared" si="831"/>
        <v>29.050383632850004</v>
      </c>
      <c r="AQ247" s="301"/>
    </row>
    <row r="248" spans="2:43" ht="20.100000000000001" customHeight="1" x14ac:dyDescent="0.3">
      <c r="B248" s="92"/>
      <c r="C248" s="95" t="s">
        <v>32</v>
      </c>
      <c r="D248" s="98">
        <v>0.66700000000000004</v>
      </c>
      <c r="E248" s="92">
        <v>1</v>
      </c>
      <c r="F248" s="92">
        <v>1</v>
      </c>
      <c r="G248" s="671">
        <f>(2.135)*3.281</f>
        <v>7.0049349999999997</v>
      </c>
      <c r="H248" s="98">
        <f>+D248</f>
        <v>0.66700000000000004</v>
      </c>
      <c r="I248" s="94">
        <v>2</v>
      </c>
      <c r="J248" s="99">
        <v>3</v>
      </c>
      <c r="K248" s="100">
        <f>+IF(D248=0.667,E248*F248*G248*H248*J248,0)</f>
        <v>14.016874935000001</v>
      </c>
      <c r="L248" s="100">
        <f>+IF(D248=0.333,E248*F248*G248*J248,0)</f>
        <v>0</v>
      </c>
      <c r="M248" s="99">
        <v>4</v>
      </c>
      <c r="N248" s="100">
        <f>+IF(D248=0.667,E248*F248*G248*H248*M248,0)</f>
        <v>18.689166580000002</v>
      </c>
      <c r="O248" s="100">
        <f>+IF(D248=0.333,E248*F248*G248*M248,0)</f>
        <v>0</v>
      </c>
      <c r="P248" s="81">
        <f t="shared" si="832"/>
        <v>2.8330000000000002</v>
      </c>
      <c r="Q248" s="100">
        <f>+IF(D248=0.667,E248*F248*G248*H248*P248,0)</f>
        <v>13.236602230285003</v>
      </c>
      <c r="R248" s="100">
        <f>+IF(D248=0.333,E248*F248*G248*P248,0)</f>
        <v>0</v>
      </c>
      <c r="S248" s="101">
        <f t="shared" si="821"/>
        <v>45.942643745285011</v>
      </c>
      <c r="T248" s="101">
        <f t="shared" si="822"/>
        <v>0</v>
      </c>
      <c r="U248" s="92"/>
      <c r="V248" s="91"/>
      <c r="W248" s="102"/>
      <c r="X248" s="98"/>
      <c r="Y248" s="102"/>
      <c r="Z248" s="98"/>
      <c r="AA248" s="98"/>
      <c r="AB248" s="98"/>
      <c r="AC248" s="91"/>
      <c r="AD248" s="98"/>
      <c r="AE248" s="98"/>
      <c r="AF248" s="98"/>
      <c r="AG248" s="91"/>
      <c r="AH248" s="460">
        <v>1</v>
      </c>
      <c r="AI248" s="299">
        <f>+AH248*G248*D248*0.17</f>
        <v>0.79428957965000013</v>
      </c>
      <c r="AK248" s="301">
        <f t="shared" si="818"/>
        <v>7.0049349999999997</v>
      </c>
      <c r="AL248" s="301">
        <f t="shared" si="819"/>
        <v>0</v>
      </c>
      <c r="AM248" s="301"/>
      <c r="AN248" s="301"/>
      <c r="AO248" s="299"/>
      <c r="AP248" s="301">
        <f t="shared" si="831"/>
        <v>45.942643745285011</v>
      </c>
      <c r="AQ248" s="301"/>
    </row>
    <row r="249" spans="2:43" ht="20.100000000000001" customHeight="1" x14ac:dyDescent="0.3">
      <c r="B249" s="369"/>
      <c r="C249" s="395"/>
      <c r="D249" s="371"/>
      <c r="E249" s="369"/>
      <c r="F249" s="369"/>
      <c r="G249" s="371"/>
      <c r="H249" s="371"/>
      <c r="I249" s="372"/>
      <c r="J249" s="371"/>
      <c r="K249" s="371"/>
      <c r="L249" s="371"/>
      <c r="M249" s="371"/>
      <c r="N249" s="371"/>
      <c r="O249" s="371"/>
      <c r="P249" s="371"/>
      <c r="Q249" s="371"/>
      <c r="R249" s="371"/>
      <c r="S249" s="371"/>
      <c r="T249" s="371"/>
      <c r="U249" s="369"/>
      <c r="V249" s="370"/>
      <c r="W249" s="372"/>
      <c r="X249" s="371"/>
      <c r="Y249" s="372"/>
      <c r="Z249" s="371"/>
      <c r="AA249" s="371"/>
      <c r="AB249" s="371"/>
      <c r="AC249" s="370"/>
      <c r="AD249" s="371"/>
      <c r="AE249" s="371"/>
      <c r="AF249" s="371"/>
      <c r="AG249" s="370"/>
      <c r="AH249" s="693"/>
      <c r="AI249" s="372"/>
      <c r="AK249" s="377"/>
      <c r="AL249" s="377"/>
      <c r="AM249" s="377"/>
      <c r="AN249" s="377"/>
      <c r="AO249" s="372"/>
      <c r="AP249" s="377"/>
      <c r="AQ249" s="377"/>
    </row>
    <row r="250" spans="2:43" ht="20.100000000000001" customHeight="1" x14ac:dyDescent="0.3">
      <c r="B250" s="92"/>
      <c r="C250" s="97" t="s">
        <v>368</v>
      </c>
      <c r="D250" s="98"/>
      <c r="E250" s="92"/>
      <c r="F250" s="92"/>
      <c r="G250" s="98"/>
      <c r="H250" s="98"/>
      <c r="I250" s="94"/>
      <c r="J250" s="92"/>
      <c r="K250" s="92"/>
      <c r="L250" s="92"/>
      <c r="M250" s="92"/>
      <c r="N250" s="92"/>
      <c r="O250" s="92"/>
      <c r="P250" s="92"/>
      <c r="Q250" s="92"/>
      <c r="R250" s="92"/>
      <c r="S250" s="92"/>
      <c r="T250" s="92"/>
      <c r="U250" s="92"/>
      <c r="V250" s="91"/>
      <c r="W250" s="102"/>
      <c r="X250" s="98"/>
      <c r="Y250" s="102"/>
      <c r="Z250" s="98"/>
      <c r="AA250" s="98"/>
      <c r="AB250" s="98"/>
      <c r="AC250" s="91"/>
      <c r="AD250" s="98"/>
      <c r="AE250" s="98"/>
      <c r="AF250" s="98"/>
      <c r="AG250" s="91"/>
      <c r="AH250" s="692"/>
      <c r="AI250" s="299"/>
      <c r="AK250" s="301">
        <f t="shared" ref="AK250:AK252" si="833">+IF(D250=0.667,E250*F250*G250,0)</f>
        <v>0</v>
      </c>
      <c r="AL250" s="301">
        <f t="shared" ref="AL250:AL252" si="834">+IF(D250=0.333,E250*F250*G250,0)</f>
        <v>0</v>
      </c>
      <c r="AM250" s="301"/>
      <c r="AN250" s="301">
        <f>+IF(D250=0.333,1.33,0)</f>
        <v>0</v>
      </c>
      <c r="AO250" s="299"/>
      <c r="AP250" s="301"/>
      <c r="AQ250" s="301"/>
    </row>
    <row r="251" spans="2:43" ht="20.100000000000001" customHeight="1" x14ac:dyDescent="0.3">
      <c r="B251" s="92"/>
      <c r="C251" s="95" t="s">
        <v>32</v>
      </c>
      <c r="D251" s="98">
        <v>0.66700000000000004</v>
      </c>
      <c r="E251" s="92">
        <v>1</v>
      </c>
      <c r="F251" s="92">
        <v>1</v>
      </c>
      <c r="G251" s="671">
        <f>+(3.658*3.281)</f>
        <v>12.001898000000001</v>
      </c>
      <c r="H251" s="98">
        <f>+D251</f>
        <v>0.66700000000000004</v>
      </c>
      <c r="I251" s="94">
        <v>2</v>
      </c>
      <c r="J251" s="99">
        <v>3</v>
      </c>
      <c r="K251" s="100">
        <f>+IF(D251=0.667,E251*F251*G251*H251*J251,0)</f>
        <v>24.015797898000002</v>
      </c>
      <c r="L251" s="100">
        <f>+IF(D251=0.333,E251*F251*G251*J251,0)</f>
        <v>0</v>
      </c>
      <c r="M251" s="99">
        <v>4</v>
      </c>
      <c r="N251" s="100">
        <f>+IF(D251=0.667,E251*F251*G251*H251*M251,0)</f>
        <v>32.021063864000006</v>
      </c>
      <c r="O251" s="100">
        <f>+IF(D251=0.333,E251*F251*G251*M251,0)</f>
        <v>0</v>
      </c>
      <c r="P251" s="81">
        <f>11.833-I251-M251-J251</f>
        <v>2.8330000000000002</v>
      </c>
      <c r="Q251" s="100">
        <f>+IF(D251=0.667,E251*F251*G251*H251*P251,0)</f>
        <v>22.678918481678007</v>
      </c>
      <c r="R251" s="100">
        <f>+IF(D251=0.333,E251*F251*G251*P251,0)</f>
        <v>0</v>
      </c>
      <c r="S251" s="101">
        <f t="shared" ref="S251:S252" si="835">+Q251+N251+K251</f>
        <v>78.715780243678012</v>
      </c>
      <c r="T251" s="101">
        <f t="shared" ref="T251:T252" si="836">+R251+O251+L251</f>
        <v>0</v>
      </c>
      <c r="U251" s="92"/>
      <c r="V251" s="91"/>
      <c r="W251" s="102"/>
      <c r="X251" s="98"/>
      <c r="Y251" s="102"/>
      <c r="Z251" s="98"/>
      <c r="AA251" s="98"/>
      <c r="AB251" s="98"/>
      <c r="AC251" s="91"/>
      <c r="AD251" s="98"/>
      <c r="AE251" s="98"/>
      <c r="AF251" s="98"/>
      <c r="AG251" s="91"/>
      <c r="AH251" s="692">
        <v>1</v>
      </c>
      <c r="AI251" s="299">
        <f>+AH251*G251*D251*0.17</f>
        <v>1.3608952142200004</v>
      </c>
      <c r="AK251" s="301">
        <f t="shared" si="833"/>
        <v>12.001898000000001</v>
      </c>
      <c r="AL251" s="301">
        <f t="shared" si="834"/>
        <v>0</v>
      </c>
      <c r="AM251" s="301"/>
      <c r="AN251" s="301">
        <f>+IF(D251=0.333,1.33,0)</f>
        <v>0</v>
      </c>
      <c r="AO251" s="299"/>
      <c r="AP251" s="301"/>
      <c r="AQ251" s="301"/>
    </row>
    <row r="252" spans="2:43" ht="20.100000000000001" customHeight="1" x14ac:dyDescent="0.3">
      <c r="B252" s="92"/>
      <c r="C252" s="95" t="s">
        <v>353</v>
      </c>
      <c r="D252" s="98">
        <v>0.66700000000000004</v>
      </c>
      <c r="E252" s="92">
        <v>-1</v>
      </c>
      <c r="F252" s="92">
        <v>1</v>
      </c>
      <c r="G252" s="671">
        <f>4+4</f>
        <v>8</v>
      </c>
      <c r="H252" s="98">
        <f>+D252</f>
        <v>0.66700000000000004</v>
      </c>
      <c r="I252" s="102"/>
      <c r="J252" s="99">
        <v>3</v>
      </c>
      <c r="K252" s="100">
        <f>+IF(D252=0.667,E252*F252*G252*H252*J252,0)</f>
        <v>-16.008000000000003</v>
      </c>
      <c r="L252" s="100">
        <f>+IF(D252=0.333,E252*F252*G252*J252,0)</f>
        <v>0</v>
      </c>
      <c r="M252" s="99">
        <v>4</v>
      </c>
      <c r="N252" s="100">
        <f>+IF(D252=0.667,E252*F252*G252*H252*M252,0)</f>
        <v>-21.344000000000001</v>
      </c>
      <c r="O252" s="100">
        <f>+IF(D252=0.333,E252*F252*G252*M252,0)</f>
        <v>0</v>
      </c>
      <c r="P252" s="99">
        <v>1</v>
      </c>
      <c r="Q252" s="100">
        <f>+IF(D252=0.667,E252*F252*G252*H252*P252,0)</f>
        <v>-5.3360000000000003</v>
      </c>
      <c r="R252" s="100">
        <f>+IF(D252=0.333,E252*F252*G252*P252,0)</f>
        <v>0</v>
      </c>
      <c r="S252" s="101">
        <f t="shared" si="835"/>
        <v>-42.688000000000002</v>
      </c>
      <c r="T252" s="101">
        <f t="shared" si="836"/>
        <v>0</v>
      </c>
      <c r="U252" s="92"/>
      <c r="V252" s="91"/>
      <c r="W252" s="690">
        <f>+G252+D252*2</f>
        <v>9.3339999999999996</v>
      </c>
      <c r="X252" s="690">
        <v>0.5</v>
      </c>
      <c r="Y252" s="690">
        <f>+IF(D252=0.667,-E252*F252*H252*W252*X252,0)</f>
        <v>3.112889</v>
      </c>
      <c r="Z252" s="690">
        <f>+IF(D252=0.333,-E252*F252*H252*W252*X252,0)</f>
        <v>0</v>
      </c>
      <c r="AA252" s="690">
        <f>+F252*G252*H252</f>
        <v>5.3360000000000003</v>
      </c>
      <c r="AB252" s="690">
        <f t="shared" ref="AB252" si="837">2*F252*W252*X252</f>
        <v>9.3339999999999996</v>
      </c>
      <c r="AC252" s="91"/>
      <c r="AD252" s="98"/>
      <c r="AE252" s="98">
        <f>+IF(D252=0.667,AD252*W252*H252*F252,0)</f>
        <v>0</v>
      </c>
      <c r="AF252" s="98">
        <f>+IF(D252=0.333,AD252*W252*H252*F252,0)</f>
        <v>0</v>
      </c>
      <c r="AG252" s="91"/>
      <c r="AH252" s="460"/>
      <c r="AI252" s="299">
        <f>+AH252*G252*D252*0.17</f>
        <v>0</v>
      </c>
      <c r="AK252" s="301">
        <f t="shared" si="833"/>
        <v>-8</v>
      </c>
      <c r="AL252" s="301">
        <f t="shared" si="834"/>
        <v>0</v>
      </c>
      <c r="AM252" s="301">
        <f>+IF(D252=0.667,1.33,0)</f>
        <v>1.33</v>
      </c>
      <c r="AN252" s="301"/>
      <c r="AO252" s="299"/>
      <c r="AP252" s="301"/>
      <c r="AQ252" s="301"/>
    </row>
    <row r="253" spans="2:43" ht="20.100000000000001" customHeight="1" x14ac:dyDescent="0.3">
      <c r="B253" s="369"/>
      <c r="C253" s="395"/>
      <c r="D253" s="371"/>
      <c r="E253" s="369"/>
      <c r="F253" s="369"/>
      <c r="G253" s="371"/>
      <c r="H253" s="371"/>
      <c r="I253" s="372"/>
      <c r="J253" s="371"/>
      <c r="K253" s="371"/>
      <c r="L253" s="371"/>
      <c r="M253" s="371"/>
      <c r="N253" s="371"/>
      <c r="O253" s="371"/>
      <c r="P253" s="371"/>
      <c r="Q253" s="371"/>
      <c r="R253" s="371"/>
      <c r="S253" s="371"/>
      <c r="T253" s="371"/>
      <c r="U253" s="369"/>
      <c r="V253" s="370"/>
      <c r="W253" s="372"/>
      <c r="X253" s="371"/>
      <c r="Y253" s="372"/>
      <c r="Z253" s="371"/>
      <c r="AA253" s="371"/>
      <c r="AB253" s="371"/>
      <c r="AC253" s="370"/>
      <c r="AD253" s="371"/>
      <c r="AE253" s="371"/>
      <c r="AF253" s="371"/>
      <c r="AG253" s="370"/>
      <c r="AH253" s="693"/>
      <c r="AI253" s="372"/>
      <c r="AK253" s="377"/>
      <c r="AL253" s="377"/>
      <c r="AM253" s="377"/>
      <c r="AN253" s="377"/>
      <c r="AO253" s="372"/>
      <c r="AP253" s="377"/>
      <c r="AQ253" s="377"/>
    </row>
    <row r="254" spans="2:43" ht="20.100000000000001" customHeight="1" x14ac:dyDescent="0.3">
      <c r="B254" s="369"/>
      <c r="C254" s="97" t="s">
        <v>369</v>
      </c>
      <c r="D254" s="371"/>
      <c r="E254" s="369"/>
      <c r="F254" s="369"/>
      <c r="G254" s="371"/>
      <c r="H254" s="371"/>
      <c r="I254" s="372"/>
      <c r="J254" s="371"/>
      <c r="K254" s="371"/>
      <c r="L254" s="371"/>
      <c r="M254" s="371"/>
      <c r="N254" s="371"/>
      <c r="O254" s="371"/>
      <c r="P254" s="371"/>
      <c r="Q254" s="371"/>
      <c r="R254" s="371"/>
      <c r="S254" s="371"/>
      <c r="T254" s="371"/>
      <c r="U254" s="369"/>
      <c r="V254" s="370"/>
      <c r="W254" s="372"/>
      <c r="X254" s="371"/>
      <c r="Y254" s="372"/>
      <c r="Z254" s="371"/>
      <c r="AA254" s="371"/>
      <c r="AB254" s="371"/>
      <c r="AC254" s="370"/>
      <c r="AD254" s="371"/>
      <c r="AE254" s="371"/>
      <c r="AF254" s="371"/>
      <c r="AG254" s="370"/>
      <c r="AH254" s="693"/>
      <c r="AI254" s="372"/>
      <c r="AK254" s="377"/>
      <c r="AL254" s="377"/>
      <c r="AM254" s="377"/>
      <c r="AN254" s="377"/>
      <c r="AO254" s="372"/>
      <c r="AP254" s="377"/>
      <c r="AQ254" s="377"/>
    </row>
    <row r="255" spans="2:43" ht="20.100000000000001" customHeight="1" x14ac:dyDescent="0.3">
      <c r="B255" s="92"/>
      <c r="C255" s="95" t="s">
        <v>32</v>
      </c>
      <c r="D255" s="98">
        <v>0.66700000000000004</v>
      </c>
      <c r="E255" s="92">
        <v>1</v>
      </c>
      <c r="F255" s="92">
        <v>1</v>
      </c>
      <c r="G255" s="671">
        <f>(4.948+7.49+2.98)*3.281</f>
        <v>50.586458000000007</v>
      </c>
      <c r="H255" s="98">
        <f>+D255</f>
        <v>0.66700000000000004</v>
      </c>
      <c r="I255" s="94">
        <v>2</v>
      </c>
      <c r="J255" s="99">
        <v>3</v>
      </c>
      <c r="K255" s="100">
        <f>+IF(D255=0.667,E255*F255*G255*H255*J255,0)</f>
        <v>101.22350245800003</v>
      </c>
      <c r="L255" s="100">
        <f>+IF(D255=0.333,E255*F255*G255*J255,0)</f>
        <v>0</v>
      </c>
      <c r="M255" s="99">
        <v>4</v>
      </c>
      <c r="N255" s="100">
        <f>+IF(D255=0.667,E255*F255*G255*H255*M255,0)</f>
        <v>134.96466994400004</v>
      </c>
      <c r="O255" s="100">
        <f>+IF(D255=0.333,E255*F255*G255*M255,0)</f>
        <v>0</v>
      </c>
      <c r="P255" s="81">
        <f>11.833-I255-M255-J255</f>
        <v>2.8330000000000002</v>
      </c>
      <c r="Q255" s="100">
        <f>+IF(D255=0.667,E255*F255*G255*H255*P255,0)</f>
        <v>95.588727487838028</v>
      </c>
      <c r="R255" s="100">
        <f>+IF(D255=0.333,E255*F255*G255*P255,0)</f>
        <v>0</v>
      </c>
      <c r="S255" s="101">
        <f t="shared" ref="S255:S259" si="838">+Q255+N255+K255</f>
        <v>331.77689988983809</v>
      </c>
      <c r="T255" s="101">
        <f t="shared" ref="T255:T259" si="839">+R255+O255+L255</f>
        <v>0</v>
      </c>
      <c r="U255" s="92"/>
      <c r="V255" s="91"/>
      <c r="W255" s="102"/>
      <c r="X255" s="98"/>
      <c r="Y255" s="102"/>
      <c r="Z255" s="98"/>
      <c r="AA255" s="98"/>
      <c r="AB255" s="98"/>
      <c r="AC255" s="91"/>
      <c r="AD255" s="98"/>
      <c r="AE255" s="98"/>
      <c r="AF255" s="98"/>
      <c r="AG255" s="91"/>
      <c r="AH255" s="692">
        <v>1</v>
      </c>
      <c r="AI255" s="299">
        <f>+AH255*G255*D255*0.17</f>
        <v>5.7359984726200022</v>
      </c>
      <c r="AK255" s="301">
        <f t="shared" ref="AK255" si="840">+IF(D255=0.667,E255*F255*G255,0)</f>
        <v>50.586458000000007</v>
      </c>
      <c r="AL255" s="301">
        <f t="shared" ref="AL255:AL259" si="841">+IF(D255=0.333,E255*F255*G255,0)</f>
        <v>0</v>
      </c>
      <c r="AM255" s="301"/>
      <c r="AN255" s="301">
        <f>+IF(D255=0.333,1.33,0)</f>
        <v>0</v>
      </c>
      <c r="AO255" s="299"/>
      <c r="AP255" s="301"/>
      <c r="AQ255" s="301"/>
    </row>
    <row r="256" spans="2:43" ht="20.100000000000001" customHeight="1" x14ac:dyDescent="0.3">
      <c r="B256" s="92"/>
      <c r="C256" s="95" t="s">
        <v>347</v>
      </c>
      <c r="D256" s="98">
        <v>0.66700000000000004</v>
      </c>
      <c r="E256" s="92">
        <v>-1</v>
      </c>
      <c r="F256" s="92">
        <v>4</v>
      </c>
      <c r="G256" s="671">
        <v>6</v>
      </c>
      <c r="H256" s="98">
        <f t="shared" ref="H256" si="842">+D256</f>
        <v>0.66700000000000004</v>
      </c>
      <c r="I256" s="94"/>
      <c r="J256" s="99"/>
      <c r="K256" s="100">
        <f t="shared" ref="K256" si="843">+IF(D256=0.667,E256*F256*G256*H256*J256,0)</f>
        <v>0</v>
      </c>
      <c r="L256" s="100">
        <f t="shared" ref="L256" si="844">+IF(D256=0.333,E256*F256*G256*J256,0)</f>
        <v>0</v>
      </c>
      <c r="M256" s="99">
        <v>4</v>
      </c>
      <c r="N256" s="100">
        <f t="shared" ref="N256" si="845">+IF(D256=0.667,E256*F256*G256*H256*M256,0)</f>
        <v>-64.032000000000011</v>
      </c>
      <c r="O256" s="100">
        <f t="shared" ref="O256" si="846">+IF(D256=0.333,E256*F256*G256*M256,0)</f>
        <v>0</v>
      </c>
      <c r="P256" s="81">
        <v>0</v>
      </c>
      <c r="Q256" s="100">
        <f t="shared" ref="Q256" si="847">+IF(D256=0.667,E256*F256*G256*H256*P256,0)</f>
        <v>0</v>
      </c>
      <c r="R256" s="100">
        <f t="shared" ref="R256" si="848">+IF(D256=0.333,E256*F256*G256*P256,0)</f>
        <v>0</v>
      </c>
      <c r="S256" s="101">
        <f t="shared" si="838"/>
        <v>-64.032000000000011</v>
      </c>
      <c r="T256" s="101">
        <f t="shared" si="839"/>
        <v>0</v>
      </c>
      <c r="U256" s="92"/>
      <c r="V256" s="91"/>
      <c r="W256" s="454">
        <f>+G256+D256</f>
        <v>6.6669999999999998</v>
      </c>
      <c r="X256" s="690">
        <v>0.5</v>
      </c>
      <c r="Y256" s="454">
        <f>+IF(D256=0.667,-E256*F256*H256*W256*X256,0)</f>
        <v>8.8937780000000011</v>
      </c>
      <c r="Z256" s="690">
        <f>+IF(D256=0.333,-E256*F256*H256*W256*X256,0)</f>
        <v>0</v>
      </c>
      <c r="AA256" s="690">
        <f>+F256*G256*H256</f>
        <v>16.008000000000003</v>
      </c>
      <c r="AB256" s="690">
        <f t="shared" ref="AB256" si="849">2*F256*W256*X256</f>
        <v>26.667999999999999</v>
      </c>
      <c r="AC256" s="91"/>
      <c r="AD256" s="98">
        <v>0.16700000000000001</v>
      </c>
      <c r="AE256" s="98">
        <f t="shared" ref="AE256" si="850">+IF(D256=0.667,AD256*W256*H256*F256,0)</f>
        <v>2.9705218520000001</v>
      </c>
      <c r="AF256" s="98">
        <f t="shared" ref="AF256" si="851">+IF(D256=0.333,AD256*W256*H256*F256,0)</f>
        <v>0</v>
      </c>
      <c r="AG256" s="91"/>
      <c r="AH256" s="692"/>
      <c r="AI256" s="299">
        <f t="shared" ref="AI256" si="852">+AH256*G256*D256*0.17</f>
        <v>0</v>
      </c>
      <c r="AK256" s="301"/>
      <c r="AL256" s="301">
        <f t="shared" si="841"/>
        <v>0</v>
      </c>
      <c r="AM256" s="301"/>
      <c r="AN256" s="301"/>
      <c r="AO256" s="299"/>
      <c r="AP256" s="301"/>
      <c r="AQ256" s="301"/>
    </row>
    <row r="257" spans="2:43" ht="20.100000000000001" customHeight="1" x14ac:dyDescent="0.3">
      <c r="B257" s="92"/>
      <c r="C257" s="95" t="s">
        <v>31</v>
      </c>
      <c r="D257" s="98">
        <v>0.66700000000000004</v>
      </c>
      <c r="E257" s="92">
        <v>1</v>
      </c>
      <c r="F257" s="92">
        <v>1</v>
      </c>
      <c r="G257" s="671">
        <f>(1.174+3.58+5.034+5.48)*3.281</f>
        <v>50.094308000000005</v>
      </c>
      <c r="H257" s="98">
        <f>+D257</f>
        <v>0.66700000000000004</v>
      </c>
      <c r="I257" s="94">
        <v>2</v>
      </c>
      <c r="J257" s="99">
        <v>3</v>
      </c>
      <c r="K257" s="100">
        <f>+IF(D257=0.667,E257*F257*G257*H257*J257,0)</f>
        <v>100.23871030800002</v>
      </c>
      <c r="L257" s="100">
        <f>+IF(D257=0.333,E257*F257*G257*J257,0)</f>
        <v>0</v>
      </c>
      <c r="M257" s="99">
        <v>4</v>
      </c>
      <c r="N257" s="100">
        <f>+IF(D257=0.667,E257*F257*G257*H257*M257,0)</f>
        <v>133.65161374400003</v>
      </c>
      <c r="O257" s="100">
        <f>+IF(D257=0.333,E257*F257*G257*M257,0)</f>
        <v>0</v>
      </c>
      <c r="P257" s="81">
        <f>11.833-I257-M257-J257</f>
        <v>2.8330000000000002</v>
      </c>
      <c r="Q257" s="100">
        <f>+IF(D257=0.667,E257*F257*G257*H257*P257,0)</f>
        <v>94.658755434188024</v>
      </c>
      <c r="R257" s="100">
        <f>+IF(D257=0.333,E257*F257*G257*P257,0)</f>
        <v>0</v>
      </c>
      <c r="S257" s="101">
        <f t="shared" si="838"/>
        <v>328.54907948618808</v>
      </c>
      <c r="T257" s="101">
        <f t="shared" si="839"/>
        <v>0</v>
      </c>
      <c r="U257" s="92"/>
      <c r="V257" s="91"/>
      <c r="W257" s="102"/>
      <c r="X257" s="98"/>
      <c r="Y257" s="102"/>
      <c r="Z257" s="98"/>
      <c r="AA257" s="98"/>
      <c r="AB257" s="98"/>
      <c r="AC257" s="91"/>
      <c r="AD257" s="98"/>
      <c r="AE257" s="98"/>
      <c r="AF257" s="98"/>
      <c r="AG257" s="91"/>
      <c r="AH257" s="692">
        <v>1</v>
      </c>
      <c r="AI257" s="299">
        <f>+AH257*G257*D257*0.17</f>
        <v>5.6801935841200013</v>
      </c>
      <c r="AK257" s="301">
        <f t="shared" ref="AK257:AK258" si="853">+IF(D257=0.667,E257*F257*G257,0)</f>
        <v>50.094308000000005</v>
      </c>
      <c r="AL257" s="301">
        <f t="shared" si="841"/>
        <v>0</v>
      </c>
      <c r="AM257" s="301"/>
      <c r="AN257" s="301">
        <f>+IF(D257=0.333,1.33,0)</f>
        <v>0</v>
      </c>
      <c r="AO257" s="299"/>
      <c r="AP257" s="301"/>
      <c r="AQ257" s="301"/>
    </row>
    <row r="258" spans="2:43" ht="20.100000000000001" customHeight="1" x14ac:dyDescent="0.3">
      <c r="B258" s="92"/>
      <c r="C258" s="95" t="s">
        <v>335</v>
      </c>
      <c r="D258" s="98">
        <v>0.66700000000000004</v>
      </c>
      <c r="E258" s="92">
        <v>-1</v>
      </c>
      <c r="F258" s="92">
        <v>1</v>
      </c>
      <c r="G258" s="671">
        <f>4+4</f>
        <v>8</v>
      </c>
      <c r="H258" s="98">
        <f>+D258</f>
        <v>0.66700000000000004</v>
      </c>
      <c r="I258" s="102"/>
      <c r="J258" s="99">
        <v>3</v>
      </c>
      <c r="K258" s="100">
        <f>+IF(D258=0.667,E258*F258*G258*H258*J258,0)</f>
        <v>-16.008000000000003</v>
      </c>
      <c r="L258" s="100">
        <f>+IF(D258=0.333,E258*F258*G258*J258,0)</f>
        <v>0</v>
      </c>
      <c r="M258" s="99">
        <v>4</v>
      </c>
      <c r="N258" s="100">
        <f>+IF(D258=0.667,E258*F258*G258*H258*M258,0)</f>
        <v>-21.344000000000001</v>
      </c>
      <c r="O258" s="100">
        <f>+IF(D258=0.333,E258*F258*G258*M258,0)</f>
        <v>0</v>
      </c>
      <c r="P258" s="99">
        <v>1</v>
      </c>
      <c r="Q258" s="100">
        <f>+IF(D258=0.667,E258*F258*G258*H258*P258,0)</f>
        <v>-5.3360000000000003</v>
      </c>
      <c r="R258" s="100">
        <f>+IF(D258=0.333,E258*F258*G258*P258,0)</f>
        <v>0</v>
      </c>
      <c r="S258" s="101">
        <f t="shared" si="838"/>
        <v>-42.688000000000002</v>
      </c>
      <c r="T258" s="101">
        <f t="shared" si="839"/>
        <v>0</v>
      </c>
      <c r="U258" s="92"/>
      <c r="V258" s="91"/>
      <c r="W258" s="690">
        <f>+G258+D258*2</f>
        <v>9.3339999999999996</v>
      </c>
      <c r="X258" s="690">
        <v>0.5</v>
      </c>
      <c r="Y258" s="690">
        <f>+IF(D258=0.667,-E258*F258*H258*W258*X258,0)</f>
        <v>3.112889</v>
      </c>
      <c r="Z258" s="690">
        <f>+IF(D258=0.333,-E258*F258*H258*W258*X258,0)</f>
        <v>0</v>
      </c>
      <c r="AA258" s="690">
        <f>+F258*G258*H258</f>
        <v>5.3360000000000003</v>
      </c>
      <c r="AB258" s="690">
        <f t="shared" ref="AB258" si="854">2*F258*W258*X258</f>
        <v>9.3339999999999996</v>
      </c>
      <c r="AC258" s="91"/>
      <c r="AD258" s="98"/>
      <c r="AE258" s="98">
        <f>+IF(D258=0.667,AD258*W258*H258*F258,0)</f>
        <v>0</v>
      </c>
      <c r="AF258" s="98">
        <f>+IF(D258=0.333,AD258*W258*H258*F258,0)</f>
        <v>0</v>
      </c>
      <c r="AG258" s="91"/>
      <c r="AH258" s="460"/>
      <c r="AI258" s="299">
        <f>+AH258*G258*D258*0.17</f>
        <v>0</v>
      </c>
      <c r="AK258" s="301">
        <f t="shared" si="853"/>
        <v>-8</v>
      </c>
      <c r="AL258" s="301">
        <f t="shared" si="841"/>
        <v>0</v>
      </c>
      <c r="AM258" s="301">
        <f>+IF(D258=0.667,1.33,0)</f>
        <v>1.33</v>
      </c>
      <c r="AN258" s="301"/>
      <c r="AO258" s="299"/>
      <c r="AP258" s="301"/>
      <c r="AQ258" s="301"/>
    </row>
    <row r="259" spans="2:43" ht="20.100000000000001" customHeight="1" x14ac:dyDescent="0.3">
      <c r="B259" s="92"/>
      <c r="C259" s="95" t="s">
        <v>38</v>
      </c>
      <c r="D259" s="98">
        <v>0.66700000000000004</v>
      </c>
      <c r="E259" s="415">
        <f>1*0</f>
        <v>0</v>
      </c>
      <c r="F259" s="415">
        <f>1*0</f>
        <v>0</v>
      </c>
      <c r="G259" s="98">
        <f>(5.593+6.095)*3.281</f>
        <v>38.348327999999995</v>
      </c>
      <c r="H259" s="98">
        <f>+D259</f>
        <v>0.66700000000000004</v>
      </c>
      <c r="I259" s="94">
        <v>2</v>
      </c>
      <c r="J259" s="99">
        <v>3</v>
      </c>
      <c r="K259" s="100">
        <f>+IF(D259=0.667,E259*F259*G259*H259*J259,0)</f>
        <v>0</v>
      </c>
      <c r="L259" s="100">
        <f>+IF(D259=0.333,E259*F259*G259*J259,0)</f>
        <v>0</v>
      </c>
      <c r="M259" s="99">
        <v>4</v>
      </c>
      <c r="N259" s="100">
        <f>+IF(D259=0.667,E259*F259*G259*H259*M259,0)</f>
        <v>0</v>
      </c>
      <c r="O259" s="100">
        <f>+IF(D259=0.333,E259*F259*G259*M259,0)</f>
        <v>0</v>
      </c>
      <c r="P259" s="81">
        <f>11.833-I259-M259-J259</f>
        <v>2.8330000000000002</v>
      </c>
      <c r="Q259" s="100">
        <f>+IF(D259=0.667,E259*F259*G259*H259*P259,0)</f>
        <v>0</v>
      </c>
      <c r="R259" s="100">
        <f>+IF(D259=0.333,E259*F259*G259*P259,0)</f>
        <v>0</v>
      </c>
      <c r="S259" s="101">
        <f t="shared" si="838"/>
        <v>0</v>
      </c>
      <c r="T259" s="101">
        <f t="shared" si="839"/>
        <v>0</v>
      </c>
      <c r="U259" s="92"/>
      <c r="V259" s="91"/>
      <c r="W259" s="102"/>
      <c r="X259" s="98"/>
      <c r="Y259" s="102"/>
      <c r="Z259" s="98"/>
      <c r="AA259" s="98"/>
      <c r="AB259" s="98"/>
      <c r="AC259" s="91"/>
      <c r="AD259" s="98"/>
      <c r="AE259" s="98"/>
      <c r="AF259" s="98"/>
      <c r="AG259" s="91"/>
      <c r="AH259" s="415">
        <f>1*0</f>
        <v>0</v>
      </c>
      <c r="AI259" s="299">
        <f>+AH259*G259*D259*0.17</f>
        <v>0</v>
      </c>
      <c r="AK259" s="301">
        <f t="shared" ref="AK259" si="855">+IF(D259=0.667,E259*F259*G259,0)</f>
        <v>0</v>
      </c>
      <c r="AL259" s="301">
        <f t="shared" si="841"/>
        <v>0</v>
      </c>
      <c r="AM259" s="301"/>
      <c r="AN259" s="301">
        <f>+IF(D259=0.333,1.33,0)</f>
        <v>0</v>
      </c>
      <c r="AO259" s="299"/>
      <c r="AP259" s="301"/>
      <c r="AQ259" s="301"/>
    </row>
    <row r="260" spans="2:43" ht="20.100000000000001" customHeight="1" x14ac:dyDescent="0.3">
      <c r="B260" s="369"/>
      <c r="C260" s="395"/>
      <c r="D260" s="371"/>
      <c r="E260" s="369"/>
      <c r="F260" s="369"/>
      <c r="G260" s="371"/>
      <c r="H260" s="371"/>
      <c r="I260" s="372"/>
      <c r="J260" s="371"/>
      <c r="K260" s="371"/>
      <c r="L260" s="371"/>
      <c r="M260" s="371"/>
      <c r="N260" s="371"/>
      <c r="O260" s="371"/>
      <c r="P260" s="371"/>
      <c r="Q260" s="371"/>
      <c r="R260" s="371"/>
      <c r="S260" s="371"/>
      <c r="T260" s="371"/>
      <c r="U260" s="369"/>
      <c r="V260" s="370"/>
      <c r="W260" s="372"/>
      <c r="X260" s="371"/>
      <c r="Y260" s="372"/>
      <c r="Z260" s="371"/>
      <c r="AA260" s="371"/>
      <c r="AB260" s="371"/>
      <c r="AC260" s="370"/>
      <c r="AD260" s="371"/>
      <c r="AE260" s="371"/>
      <c r="AF260" s="371"/>
      <c r="AG260" s="370"/>
      <c r="AH260" s="693"/>
      <c r="AI260" s="372"/>
      <c r="AK260" s="377"/>
      <c r="AL260" s="377"/>
      <c r="AM260" s="377"/>
      <c r="AN260" s="377"/>
      <c r="AO260" s="372"/>
      <c r="AP260" s="377"/>
      <c r="AQ260" s="377"/>
    </row>
    <row r="261" spans="2:43" ht="20.100000000000001" customHeight="1" x14ac:dyDescent="0.3">
      <c r="B261" s="369"/>
      <c r="C261" s="97" t="s">
        <v>370</v>
      </c>
      <c r="D261" s="371"/>
      <c r="E261" s="369"/>
      <c r="F261" s="369"/>
      <c r="G261" s="371"/>
      <c r="H261" s="371"/>
      <c r="I261" s="372"/>
      <c r="J261" s="371"/>
      <c r="K261" s="371"/>
      <c r="L261" s="371"/>
      <c r="M261" s="371"/>
      <c r="N261" s="371"/>
      <c r="O261" s="371"/>
      <c r="P261" s="371"/>
      <c r="Q261" s="371"/>
      <c r="R261" s="371"/>
      <c r="S261" s="371"/>
      <c r="T261" s="371"/>
      <c r="U261" s="369"/>
      <c r="V261" s="370"/>
      <c r="W261" s="372"/>
      <c r="X261" s="371"/>
      <c r="Y261" s="372"/>
      <c r="Z261" s="371"/>
      <c r="AA261" s="371"/>
      <c r="AB261" s="371"/>
      <c r="AC261" s="370"/>
      <c r="AD261" s="371"/>
      <c r="AE261" s="371"/>
      <c r="AF261" s="371"/>
      <c r="AG261" s="370"/>
      <c r="AH261" s="693"/>
      <c r="AI261" s="372"/>
      <c r="AK261" s="377"/>
      <c r="AL261" s="377"/>
      <c r="AM261" s="377"/>
      <c r="AN261" s="377"/>
      <c r="AO261" s="372"/>
      <c r="AP261" s="377"/>
      <c r="AQ261" s="377"/>
    </row>
    <row r="262" spans="2:43" ht="20.100000000000001" customHeight="1" x14ac:dyDescent="0.3">
      <c r="B262" s="92"/>
      <c r="C262" s="95" t="s">
        <v>32</v>
      </c>
      <c r="D262" s="98">
        <v>0.66700000000000004</v>
      </c>
      <c r="E262" s="92">
        <v>1</v>
      </c>
      <c r="F262" s="92">
        <v>1</v>
      </c>
      <c r="G262" s="671">
        <f>(2.449+7.567)*3.281</f>
        <v>32.862496</v>
      </c>
      <c r="H262" s="98">
        <f>+D262</f>
        <v>0.66700000000000004</v>
      </c>
      <c r="I262" s="94">
        <v>2</v>
      </c>
      <c r="J262" s="99">
        <v>3</v>
      </c>
      <c r="K262" s="100">
        <f>+IF(D262=0.667,E262*F262*G262*H262*J262,0)</f>
        <v>65.757854496000007</v>
      </c>
      <c r="L262" s="100">
        <f>+IF(D262=0.333,E262*F262*G262*J262,0)</f>
        <v>0</v>
      </c>
      <c r="M262" s="99">
        <v>4</v>
      </c>
      <c r="N262" s="100">
        <f>+IF(D262=0.667,E262*F262*G262*H262*M262,0)</f>
        <v>87.67713932800001</v>
      </c>
      <c r="O262" s="100">
        <f>+IF(D262=0.333,E262*F262*G262*M262,0)</f>
        <v>0</v>
      </c>
      <c r="P262" s="81">
        <f>11.833-I262-M262-J262</f>
        <v>2.8330000000000002</v>
      </c>
      <c r="Q262" s="100">
        <f>+IF(D262=0.667,E262*F262*G262*H262*P262,0)</f>
        <v>62.097333929056013</v>
      </c>
      <c r="R262" s="100">
        <f>+IF(D262=0.333,E262*F262*G262*P262,0)</f>
        <v>0</v>
      </c>
      <c r="S262" s="101">
        <f t="shared" ref="S262:S264" si="856">+Q262+N262+K262</f>
        <v>215.53232775305605</v>
      </c>
      <c r="T262" s="101">
        <f t="shared" ref="T262:T264" si="857">+R262+O262+L262</f>
        <v>0</v>
      </c>
      <c r="U262" s="92"/>
      <c r="V262" s="91"/>
      <c r="W262" s="102"/>
      <c r="X262" s="98"/>
      <c r="Y262" s="102"/>
      <c r="Z262" s="98"/>
      <c r="AA262" s="98"/>
      <c r="AB262" s="98"/>
      <c r="AC262" s="91"/>
      <c r="AD262" s="98"/>
      <c r="AE262" s="98"/>
      <c r="AF262" s="98"/>
      <c r="AG262" s="91"/>
      <c r="AH262" s="692">
        <v>1</v>
      </c>
      <c r="AI262" s="299">
        <f>+AH262*G262*D262*0.17</f>
        <v>3.7262784214400009</v>
      </c>
      <c r="AK262" s="301">
        <f t="shared" ref="AK262" si="858">+IF(D262=0.667,E262*F262*G262,0)</f>
        <v>32.862496</v>
      </c>
      <c r="AL262" s="301">
        <f t="shared" ref="AL262:AL264" si="859">+IF(D262=0.333,E262*F262*G262,0)</f>
        <v>0</v>
      </c>
      <c r="AM262" s="301"/>
      <c r="AN262" s="301">
        <f>+IF(D262=0.333,1.33,0)</f>
        <v>0</v>
      </c>
      <c r="AO262" s="299"/>
      <c r="AP262" s="301"/>
      <c r="AQ262" s="301"/>
    </row>
    <row r="263" spans="2:43" ht="20.100000000000001" customHeight="1" x14ac:dyDescent="0.3">
      <c r="B263" s="92"/>
      <c r="C263" s="95" t="s">
        <v>347</v>
      </c>
      <c r="D263" s="98">
        <v>0.66700000000000004</v>
      </c>
      <c r="E263" s="92">
        <v>-1</v>
      </c>
      <c r="F263" s="92">
        <v>2</v>
      </c>
      <c r="G263" s="671">
        <v>6</v>
      </c>
      <c r="H263" s="98">
        <f t="shared" ref="H263" si="860">+D263</f>
        <v>0.66700000000000004</v>
      </c>
      <c r="I263" s="94"/>
      <c r="J263" s="99"/>
      <c r="K263" s="100">
        <f t="shared" ref="K263" si="861">+IF(D263=0.667,E263*F263*G263*H263*J263,0)</f>
        <v>0</v>
      </c>
      <c r="L263" s="100">
        <f t="shared" ref="L263" si="862">+IF(D263=0.333,E263*F263*G263*J263,0)</f>
        <v>0</v>
      </c>
      <c r="M263" s="99">
        <v>4</v>
      </c>
      <c r="N263" s="100">
        <f t="shared" ref="N263" si="863">+IF(D263=0.667,E263*F263*G263*H263*M263,0)</f>
        <v>-32.016000000000005</v>
      </c>
      <c r="O263" s="100">
        <f t="shared" ref="O263" si="864">+IF(D263=0.333,E263*F263*G263*M263,0)</f>
        <v>0</v>
      </c>
      <c r="P263" s="81">
        <v>0</v>
      </c>
      <c r="Q263" s="100">
        <f t="shared" ref="Q263" si="865">+IF(D263=0.667,E263*F263*G263*H263*P263,0)</f>
        <v>0</v>
      </c>
      <c r="R263" s="100">
        <f t="shared" ref="R263" si="866">+IF(D263=0.333,E263*F263*G263*P263,0)</f>
        <v>0</v>
      </c>
      <c r="S263" s="101">
        <f t="shared" si="856"/>
        <v>-32.016000000000005</v>
      </c>
      <c r="T263" s="101">
        <f t="shared" si="857"/>
        <v>0</v>
      </c>
      <c r="U263" s="92"/>
      <c r="V263" s="91"/>
      <c r="W263" s="454">
        <f>+G263+D263</f>
        <v>6.6669999999999998</v>
      </c>
      <c r="X263" s="690">
        <v>0.5</v>
      </c>
      <c r="Y263" s="454">
        <f>+IF(D263=0.667,-E263*F263*H263*W263*X263,0)</f>
        <v>4.4468890000000005</v>
      </c>
      <c r="Z263" s="690">
        <f>+IF(D263=0.333,-E263*F263*H263*W263*X263,0)</f>
        <v>0</v>
      </c>
      <c r="AA263" s="690">
        <f>+F263*G263*H263</f>
        <v>8.0040000000000013</v>
      </c>
      <c r="AB263" s="690">
        <f t="shared" ref="AB263" si="867">2*F263*W263*X263</f>
        <v>13.334</v>
      </c>
      <c r="AC263" s="91"/>
      <c r="AD263" s="98">
        <v>0.16700000000000001</v>
      </c>
      <c r="AE263" s="98">
        <f t="shared" ref="AE263" si="868">+IF(D263=0.667,AD263*W263*H263*F263,0)</f>
        <v>1.485260926</v>
      </c>
      <c r="AF263" s="98">
        <f t="shared" ref="AF263" si="869">+IF(D263=0.333,AD263*W263*H263*F263,0)</f>
        <v>0</v>
      </c>
      <c r="AG263" s="91"/>
      <c r="AH263" s="692"/>
      <c r="AI263" s="299">
        <f t="shared" ref="AI263" si="870">+AH263*G263*D263*0.17</f>
        <v>0</v>
      </c>
      <c r="AK263" s="301"/>
      <c r="AL263" s="301">
        <f t="shared" si="859"/>
        <v>0</v>
      </c>
      <c r="AM263" s="301"/>
      <c r="AN263" s="301"/>
      <c r="AO263" s="299"/>
      <c r="AP263" s="301"/>
      <c r="AQ263" s="301"/>
    </row>
    <row r="264" spans="2:43" ht="20.100000000000001" customHeight="1" x14ac:dyDescent="0.3">
      <c r="B264" s="92"/>
      <c r="C264" s="95" t="s">
        <v>38</v>
      </c>
      <c r="D264" s="98">
        <v>0.66700000000000004</v>
      </c>
      <c r="E264" s="92">
        <v>1</v>
      </c>
      <c r="F264" s="92">
        <v>1</v>
      </c>
      <c r="G264" s="671">
        <f>(13.15)*3.281*0+(1.219*3.281)</f>
        <v>3.9995390000000004</v>
      </c>
      <c r="H264" s="98">
        <f>+D264</f>
        <v>0.66700000000000004</v>
      </c>
      <c r="I264" s="94">
        <v>2</v>
      </c>
      <c r="J264" s="99">
        <v>3</v>
      </c>
      <c r="K264" s="100">
        <f>+IF(D264=0.667,E264*F264*G264*H264*J264,0)</f>
        <v>8.0030775390000013</v>
      </c>
      <c r="L264" s="100">
        <f>+IF(D264=0.333,E264*F264*G264*J264,0)</f>
        <v>0</v>
      </c>
      <c r="M264" s="99">
        <v>4</v>
      </c>
      <c r="N264" s="100">
        <f>+IF(D264=0.667,E264*F264*G264*H264*M264,0)</f>
        <v>10.670770052000002</v>
      </c>
      <c r="O264" s="100">
        <f>+IF(D264=0.333,E264*F264*G264*M264,0)</f>
        <v>0</v>
      </c>
      <c r="P264" s="81">
        <f>11.833-I264-M264-J264</f>
        <v>2.8330000000000002</v>
      </c>
      <c r="Q264" s="100">
        <f>+IF(D264=0.667,E264*F264*G264*H264*P264,0)</f>
        <v>7.557572889329002</v>
      </c>
      <c r="R264" s="100">
        <f>+IF(D264=0.333,E264*F264*G264*P264,0)</f>
        <v>0</v>
      </c>
      <c r="S264" s="101">
        <f t="shared" si="856"/>
        <v>26.231420480329007</v>
      </c>
      <c r="T264" s="101">
        <f t="shared" si="857"/>
        <v>0</v>
      </c>
      <c r="U264" s="92"/>
      <c r="V264" s="91"/>
      <c r="W264" s="102"/>
      <c r="X264" s="98"/>
      <c r="Y264" s="102"/>
      <c r="Z264" s="98"/>
      <c r="AA264" s="98"/>
      <c r="AB264" s="98"/>
      <c r="AC264" s="91"/>
      <c r="AD264" s="98"/>
      <c r="AE264" s="98"/>
      <c r="AF264" s="98"/>
      <c r="AG264" s="91"/>
      <c r="AH264" s="692">
        <v>1</v>
      </c>
      <c r="AI264" s="299">
        <f>+AH264*G264*D264*0.17</f>
        <v>0.4535077272100001</v>
      </c>
      <c r="AK264" s="301">
        <f t="shared" ref="AK264" si="871">+IF(D264=0.667,E264*F264*G264,0)</f>
        <v>3.9995390000000004</v>
      </c>
      <c r="AL264" s="301">
        <f t="shared" si="859"/>
        <v>0</v>
      </c>
      <c r="AM264" s="301"/>
      <c r="AN264" s="301">
        <f>+IF(D264=0.333,1.33,0)</f>
        <v>0</v>
      </c>
      <c r="AO264" s="299"/>
      <c r="AP264" s="301"/>
      <c r="AQ264" s="301"/>
    </row>
    <row r="265" spans="2:43" ht="20.100000000000001" customHeight="1" x14ac:dyDescent="0.3">
      <c r="B265" s="369"/>
      <c r="C265" s="395"/>
      <c r="D265" s="371"/>
      <c r="E265" s="369"/>
      <c r="F265" s="369"/>
      <c r="G265" s="371"/>
      <c r="H265" s="371"/>
      <c r="I265" s="372"/>
      <c r="J265" s="371"/>
      <c r="K265" s="371"/>
      <c r="L265" s="371"/>
      <c r="M265" s="371"/>
      <c r="N265" s="371"/>
      <c r="O265" s="371"/>
      <c r="P265" s="371"/>
      <c r="Q265" s="371"/>
      <c r="R265" s="371"/>
      <c r="S265" s="371"/>
      <c r="T265" s="371"/>
      <c r="U265" s="369"/>
      <c r="V265" s="370"/>
      <c r="W265" s="372"/>
      <c r="X265" s="371"/>
      <c r="Y265" s="372"/>
      <c r="Z265" s="371"/>
      <c r="AA265" s="371"/>
      <c r="AB265" s="371"/>
      <c r="AC265" s="370"/>
      <c r="AD265" s="371"/>
      <c r="AE265" s="371"/>
      <c r="AF265" s="371"/>
      <c r="AG265" s="370"/>
      <c r="AH265" s="693"/>
      <c r="AI265" s="372"/>
      <c r="AK265" s="377"/>
      <c r="AL265" s="377"/>
      <c r="AM265" s="377"/>
      <c r="AN265" s="377"/>
      <c r="AO265" s="372"/>
      <c r="AP265" s="377"/>
      <c r="AQ265" s="377"/>
    </row>
    <row r="266" spans="2:43" ht="20.100000000000001" customHeight="1" x14ac:dyDescent="0.3">
      <c r="B266" s="369"/>
      <c r="C266" s="97" t="s">
        <v>371</v>
      </c>
      <c r="D266" s="371"/>
      <c r="E266" s="369"/>
      <c r="F266" s="369"/>
      <c r="G266" s="371"/>
      <c r="H266" s="371"/>
      <c r="I266" s="372"/>
      <c r="J266" s="371"/>
      <c r="K266" s="371"/>
      <c r="L266" s="371"/>
      <c r="M266" s="371"/>
      <c r="N266" s="371"/>
      <c r="O266" s="371"/>
      <c r="P266" s="371"/>
      <c r="Q266" s="371"/>
      <c r="R266" s="371"/>
      <c r="S266" s="371"/>
      <c r="T266" s="371"/>
      <c r="U266" s="369"/>
      <c r="V266" s="370"/>
      <c r="W266" s="372"/>
      <c r="X266" s="371"/>
      <c r="Y266" s="372"/>
      <c r="Z266" s="371"/>
      <c r="AA266" s="371"/>
      <c r="AB266" s="371"/>
      <c r="AC266" s="370"/>
      <c r="AD266" s="371"/>
      <c r="AE266" s="371"/>
      <c r="AF266" s="371"/>
      <c r="AG266" s="370"/>
      <c r="AH266" s="693"/>
      <c r="AI266" s="372"/>
      <c r="AK266" s="377"/>
      <c r="AL266" s="377"/>
      <c r="AM266" s="377"/>
      <c r="AN266" s="377"/>
      <c r="AO266" s="372"/>
      <c r="AP266" s="377"/>
      <c r="AQ266" s="377"/>
    </row>
    <row r="267" spans="2:43" ht="20.100000000000001" customHeight="1" x14ac:dyDescent="0.3">
      <c r="B267" s="92"/>
      <c r="C267" s="95" t="s">
        <v>33</v>
      </c>
      <c r="D267" s="98">
        <v>0.66700000000000004</v>
      </c>
      <c r="E267" s="415">
        <f>1*0</f>
        <v>0</v>
      </c>
      <c r="F267" s="415">
        <f>1*0</f>
        <v>0</v>
      </c>
      <c r="G267" s="98">
        <f>(14.29)*3.281*0</f>
        <v>0</v>
      </c>
      <c r="H267" s="98">
        <f>+D267</f>
        <v>0.66700000000000004</v>
      </c>
      <c r="I267" s="94">
        <v>2</v>
      </c>
      <c r="J267" s="99">
        <v>3</v>
      </c>
      <c r="K267" s="100">
        <f>+IF(D267=0.667,E267*F267*G267*H267*J267,0)</f>
        <v>0</v>
      </c>
      <c r="L267" s="100">
        <f>+IF(D267=0.333,E267*F267*G267*J267,0)</f>
        <v>0</v>
      </c>
      <c r="M267" s="99">
        <v>4</v>
      </c>
      <c r="N267" s="100">
        <f>+IF(D267=0.667,E267*F267*G267*H267*M267,0)</f>
        <v>0</v>
      </c>
      <c r="O267" s="100">
        <f>+IF(D267=0.333,E267*F267*G267*M267,0)</f>
        <v>0</v>
      </c>
      <c r="P267" s="81">
        <f>11.833-I267-M267-J267</f>
        <v>2.8330000000000002</v>
      </c>
      <c r="Q267" s="100">
        <f>+IF(D267=0.667,E267*F267*G267*H267*P267,0)</f>
        <v>0</v>
      </c>
      <c r="R267" s="100">
        <f>+IF(D267=0.333,E267*F267*G267*P267,0)</f>
        <v>0</v>
      </c>
      <c r="S267" s="555">
        <f t="shared" ref="S267:S270" si="872">+Q267+N267+K267</f>
        <v>0</v>
      </c>
      <c r="T267" s="101">
        <f t="shared" ref="T267:T270" si="873">+R267+O267+L267</f>
        <v>0</v>
      </c>
      <c r="U267" s="92"/>
      <c r="V267" s="91"/>
      <c r="W267" s="102"/>
      <c r="X267" s="98"/>
      <c r="Y267" s="102"/>
      <c r="Z267" s="98"/>
      <c r="AA267" s="98"/>
      <c r="AB267" s="98"/>
      <c r="AC267" s="91"/>
      <c r="AD267" s="98"/>
      <c r="AE267" s="98"/>
      <c r="AF267" s="98"/>
      <c r="AG267" s="91"/>
      <c r="AH267" s="415">
        <f>1*0</f>
        <v>0</v>
      </c>
      <c r="AI267" s="299">
        <f>+AH267*G267*D267*0.17</f>
        <v>0</v>
      </c>
      <c r="AK267" s="301">
        <f t="shared" ref="AK267:AK269" si="874">+IF(D267=0.667,E267*F267*G267,0)</f>
        <v>0</v>
      </c>
      <c r="AL267" s="301">
        <f t="shared" ref="AL267:AL270" si="875">+IF(D267=0.333,E267*F267*G267,0)</f>
        <v>0</v>
      </c>
      <c r="AM267" s="301"/>
      <c r="AN267" s="301">
        <f>+IF(D267=0.333,1.33,0)</f>
        <v>0</v>
      </c>
      <c r="AO267" s="299"/>
      <c r="AP267" s="301"/>
      <c r="AQ267" s="301"/>
    </row>
    <row r="268" spans="2:43" ht="20.100000000000001" customHeight="1" x14ac:dyDescent="0.3">
      <c r="B268" s="92"/>
      <c r="C268" s="95" t="s">
        <v>335</v>
      </c>
      <c r="D268" s="98">
        <v>0.66700000000000004</v>
      </c>
      <c r="E268" s="415">
        <f>-1*0</f>
        <v>0</v>
      </c>
      <c r="F268" s="415">
        <f>1*0</f>
        <v>0</v>
      </c>
      <c r="G268" s="98">
        <f>4+4</f>
        <v>8</v>
      </c>
      <c r="H268" s="98">
        <f>+D268</f>
        <v>0.66700000000000004</v>
      </c>
      <c r="I268" s="102"/>
      <c r="J268" s="99">
        <v>3</v>
      </c>
      <c r="K268" s="100">
        <f>+IF(D268=0.667,E268*F268*G268*H268*J268,0)</f>
        <v>0</v>
      </c>
      <c r="L268" s="100">
        <f>+IF(D268=0.333,E268*F268*G268*J268,0)</f>
        <v>0</v>
      </c>
      <c r="M268" s="99">
        <v>4</v>
      </c>
      <c r="N268" s="100">
        <f>+IF(D268=0.667,E268*F268*G268*H268*M268,0)</f>
        <v>0</v>
      </c>
      <c r="O268" s="100">
        <f>+IF(D268=0.333,E268*F268*G268*M268,0)</f>
        <v>0</v>
      </c>
      <c r="P268" s="99">
        <v>1</v>
      </c>
      <c r="Q268" s="100">
        <f>+IF(D268=0.667,E268*F268*G268*H268*P268,0)</f>
        <v>0</v>
      </c>
      <c r="R268" s="100">
        <f>+IF(D268=0.333,E268*F268*G268*P268,0)</f>
        <v>0</v>
      </c>
      <c r="S268" s="555">
        <f t="shared" si="872"/>
        <v>0</v>
      </c>
      <c r="T268" s="101">
        <f t="shared" si="873"/>
        <v>0</v>
      </c>
      <c r="U268" s="92"/>
      <c r="V268" s="91"/>
      <c r="W268" s="98">
        <f>+G268+D268*2</f>
        <v>9.3339999999999996</v>
      </c>
      <c r="X268" s="98">
        <v>0.5</v>
      </c>
      <c r="Y268" s="98">
        <f>+IF(D268=0.667,-E268*F268*H268*W268*X268,0)</f>
        <v>0</v>
      </c>
      <c r="Z268" s="98">
        <f>+IF(D268=0.333,-E268*F268*H268*W268*X268,0)</f>
        <v>0</v>
      </c>
      <c r="AA268" s="98">
        <f>+F268*G268*H268</f>
        <v>0</v>
      </c>
      <c r="AB268" s="98">
        <f t="shared" ref="AB268" si="876">2*F268*W268*X268</f>
        <v>0</v>
      </c>
      <c r="AC268" s="91"/>
      <c r="AD268" s="98"/>
      <c r="AE268" s="98">
        <f>+IF(D268=0.667,AD268*W268*H268*F268,0)</f>
        <v>0</v>
      </c>
      <c r="AF268" s="98">
        <f>+IF(D268=0.333,AD268*W268*H268*F268,0)</f>
        <v>0</v>
      </c>
      <c r="AG268" s="91"/>
      <c r="AH268" s="460"/>
      <c r="AI268" s="299">
        <f>+AH268*G268*D268*0.17</f>
        <v>0</v>
      </c>
      <c r="AK268" s="301">
        <f t="shared" si="874"/>
        <v>0</v>
      </c>
      <c r="AL268" s="301">
        <f t="shared" si="875"/>
        <v>0</v>
      </c>
      <c r="AM268" s="301">
        <f>+IF(D268=0.667,1.33,0)</f>
        <v>1.33</v>
      </c>
      <c r="AN268" s="301"/>
      <c r="AO268" s="299"/>
      <c r="AP268" s="301"/>
      <c r="AQ268" s="301"/>
    </row>
    <row r="269" spans="2:43" ht="20.100000000000001" customHeight="1" x14ac:dyDescent="0.3">
      <c r="B269" s="92"/>
      <c r="C269" s="95" t="s">
        <v>32</v>
      </c>
      <c r="D269" s="98">
        <v>0.66700000000000004</v>
      </c>
      <c r="E269" s="92">
        <v>1</v>
      </c>
      <c r="F269" s="92">
        <v>1</v>
      </c>
      <c r="G269" s="98">
        <f>(7.74+5.051)*3.281</f>
        <v>41.967271000000004</v>
      </c>
      <c r="H269" s="98">
        <f>+D269</f>
        <v>0.66700000000000004</v>
      </c>
      <c r="I269" s="94">
        <v>2</v>
      </c>
      <c r="J269" s="99">
        <v>3</v>
      </c>
      <c r="K269" s="100">
        <f>+IF(D269=0.667,E269*F269*G269*H269*J269,0)</f>
        <v>83.976509271000012</v>
      </c>
      <c r="L269" s="100">
        <f>+IF(D269=0.333,E269*F269*G269*J269,0)</f>
        <v>0</v>
      </c>
      <c r="M269" s="99">
        <v>4</v>
      </c>
      <c r="N269" s="100">
        <f>+IF(D269=0.667,E269*F269*G269*H269*M269,0)</f>
        <v>111.96867902800001</v>
      </c>
      <c r="O269" s="100">
        <f>+IF(D269=0.333,E269*F269*G269*M269,0)</f>
        <v>0</v>
      </c>
      <c r="P269" s="81">
        <f>11.833-I269-M269-J269</f>
        <v>2.8330000000000002</v>
      </c>
      <c r="Q269" s="100">
        <f>+IF(D269=0.667,E269*F269*G269*H269*P269,0)</f>
        <v>79.301816921581008</v>
      </c>
      <c r="R269" s="100">
        <f>+IF(D269=0.333,E269*F269*G269*P269,0)</f>
        <v>0</v>
      </c>
      <c r="S269" s="101">
        <f t="shared" si="872"/>
        <v>275.247005220581</v>
      </c>
      <c r="T269" s="101">
        <f t="shared" si="873"/>
        <v>0</v>
      </c>
      <c r="U269" s="92"/>
      <c r="V269" s="91"/>
      <c r="W269" s="102"/>
      <c r="X269" s="98"/>
      <c r="Y269" s="102"/>
      <c r="Z269" s="98"/>
      <c r="AA269" s="98"/>
      <c r="AB269" s="98"/>
      <c r="AC269" s="91"/>
      <c r="AD269" s="98"/>
      <c r="AE269" s="98"/>
      <c r="AF269" s="98"/>
      <c r="AG269" s="91"/>
      <c r="AH269" s="692">
        <v>1</v>
      </c>
      <c r="AI269" s="299">
        <f>+AH269*G269*D269*0.17</f>
        <v>4.758668858690001</v>
      </c>
      <c r="AK269" s="301">
        <f t="shared" si="874"/>
        <v>41.967271000000004</v>
      </c>
      <c r="AL269" s="301">
        <f t="shared" si="875"/>
        <v>0</v>
      </c>
      <c r="AM269" s="301"/>
      <c r="AN269" s="301">
        <f>+IF(D269=0.333,1.33,0)</f>
        <v>0</v>
      </c>
      <c r="AO269" s="299"/>
      <c r="AP269" s="301"/>
      <c r="AQ269" s="301"/>
    </row>
    <row r="270" spans="2:43" ht="20.100000000000001" customHeight="1" x14ac:dyDescent="0.3">
      <c r="B270" s="92"/>
      <c r="C270" s="95" t="s">
        <v>347</v>
      </c>
      <c r="D270" s="98">
        <v>0.66700000000000004</v>
      </c>
      <c r="E270" s="92">
        <v>-1</v>
      </c>
      <c r="F270" s="92">
        <v>3</v>
      </c>
      <c r="G270" s="98">
        <v>6</v>
      </c>
      <c r="H270" s="98">
        <f t="shared" ref="H270" si="877">+D270</f>
        <v>0.66700000000000004</v>
      </c>
      <c r="I270" s="94"/>
      <c r="J270" s="99"/>
      <c r="K270" s="100">
        <f t="shared" ref="K270" si="878">+IF(D270=0.667,E270*F270*G270*H270*J270,0)</f>
        <v>0</v>
      </c>
      <c r="L270" s="100">
        <f t="shared" ref="L270" si="879">+IF(D270=0.333,E270*F270*G270*J270,0)</f>
        <v>0</v>
      </c>
      <c r="M270" s="99">
        <v>4</v>
      </c>
      <c r="N270" s="100">
        <f t="shared" ref="N270" si="880">+IF(D270=0.667,E270*F270*G270*H270*M270,0)</f>
        <v>-48.024000000000001</v>
      </c>
      <c r="O270" s="100">
        <f t="shared" ref="O270" si="881">+IF(D270=0.333,E270*F270*G270*M270,0)</f>
        <v>0</v>
      </c>
      <c r="P270" s="81">
        <v>0</v>
      </c>
      <c r="Q270" s="100">
        <f t="shared" ref="Q270" si="882">+IF(D270=0.667,E270*F270*G270*H270*P270,0)</f>
        <v>0</v>
      </c>
      <c r="R270" s="100">
        <f t="shared" ref="R270" si="883">+IF(D270=0.333,E270*F270*G270*P270,0)</f>
        <v>0</v>
      </c>
      <c r="S270" s="101">
        <f t="shared" si="872"/>
        <v>-48.024000000000001</v>
      </c>
      <c r="T270" s="101">
        <f t="shared" si="873"/>
        <v>0</v>
      </c>
      <c r="U270" s="92"/>
      <c r="V270" s="91"/>
      <c r="W270" s="454">
        <f>+G270+D270</f>
        <v>6.6669999999999998</v>
      </c>
      <c r="X270" s="690">
        <v>0.5</v>
      </c>
      <c r="Y270" s="454">
        <f>+IF(D270=0.667,-E270*F270*H270*W270*X270,0)</f>
        <v>6.6703335000000008</v>
      </c>
      <c r="Z270" s="690">
        <f>+IF(D270=0.333,-E270*F270*H270*W270*X270,0)</f>
        <v>0</v>
      </c>
      <c r="AA270" s="690">
        <f>+F270*G270*H270</f>
        <v>12.006</v>
      </c>
      <c r="AB270" s="690">
        <f t="shared" ref="AB270" si="884">2*F270*W270*X270</f>
        <v>20.000999999999998</v>
      </c>
      <c r="AC270" s="91"/>
      <c r="AD270" s="98">
        <v>0.16700000000000001</v>
      </c>
      <c r="AE270" s="98">
        <f t="shared" ref="AE270" si="885">+IF(D270=0.667,AD270*W270*H270*F270,0)</f>
        <v>2.2278913889999998</v>
      </c>
      <c r="AF270" s="98">
        <f t="shared" ref="AF270" si="886">+IF(D270=0.333,AD270*W270*H270*F270,0)</f>
        <v>0</v>
      </c>
      <c r="AG270" s="91"/>
      <c r="AH270" s="692"/>
      <c r="AI270" s="299">
        <f t="shared" ref="AI270" si="887">+AH270*G270*D270*0.17</f>
        <v>0</v>
      </c>
      <c r="AK270" s="301"/>
      <c r="AL270" s="301">
        <f t="shared" si="875"/>
        <v>0</v>
      </c>
      <c r="AM270" s="301"/>
      <c r="AN270" s="301"/>
      <c r="AO270" s="299"/>
      <c r="AP270" s="301"/>
      <c r="AQ270" s="301"/>
    </row>
    <row r="271" spans="2:43" ht="20.100000000000001" customHeight="1" x14ac:dyDescent="0.3">
      <c r="B271" s="369"/>
      <c r="C271" s="395"/>
      <c r="D271" s="371"/>
      <c r="E271" s="369"/>
      <c r="F271" s="369"/>
      <c r="G271" s="371"/>
      <c r="H271" s="371"/>
      <c r="I271" s="372"/>
      <c r="J271" s="371"/>
      <c r="K271" s="371"/>
      <c r="L271" s="371"/>
      <c r="M271" s="371"/>
      <c r="N271" s="371"/>
      <c r="O271" s="371"/>
      <c r="P271" s="371"/>
      <c r="Q271" s="371"/>
      <c r="R271" s="371"/>
      <c r="S271" s="371"/>
      <c r="T271" s="371"/>
      <c r="U271" s="369"/>
      <c r="V271" s="370"/>
      <c r="W271" s="372"/>
      <c r="X271" s="371"/>
      <c r="Y271" s="372"/>
      <c r="Z271" s="371"/>
      <c r="AA271" s="371"/>
      <c r="AB271" s="371"/>
      <c r="AC271" s="370"/>
      <c r="AD271" s="371"/>
      <c r="AE271" s="371"/>
      <c r="AF271" s="371"/>
      <c r="AG271" s="370"/>
      <c r="AH271" s="693"/>
      <c r="AI271" s="372"/>
      <c r="AK271" s="302">
        <f t="shared" ref="AK271:AQ271" si="888">SUM(AK6:AK270)</f>
        <v>1470.1350950000001</v>
      </c>
      <c r="AL271" s="302">
        <f>SUM(AL6:AL270)</f>
        <v>33.680936000000003</v>
      </c>
      <c r="AM271" s="302">
        <f t="shared" si="888"/>
        <v>22.609999999999992</v>
      </c>
      <c r="AN271" s="302">
        <f t="shared" si="888"/>
        <v>1.33</v>
      </c>
      <c r="AO271" s="302">
        <f t="shared" si="888"/>
        <v>0</v>
      </c>
      <c r="AP271" s="302">
        <f>SUM(AP6:AP270)</f>
        <v>804.72758874368219</v>
      </c>
      <c r="AQ271" s="302">
        <f t="shared" si="888"/>
        <v>0</v>
      </c>
    </row>
    <row r="272" spans="2:43" ht="20.100000000000001" customHeight="1" x14ac:dyDescent="0.3">
      <c r="B272" s="369"/>
      <c r="C272" s="395"/>
      <c r="D272" s="371"/>
      <c r="E272" s="369"/>
      <c r="F272" s="369"/>
      <c r="G272" s="371"/>
      <c r="H272" s="371"/>
      <c r="I272" s="372"/>
      <c r="J272" s="371"/>
      <c r="K272" s="371"/>
      <c r="L272" s="371"/>
      <c r="M272" s="371"/>
      <c r="N272" s="371"/>
      <c r="O272" s="371"/>
      <c r="P272" s="371"/>
      <c r="Q272" s="371"/>
      <c r="R272" s="371"/>
      <c r="S272" s="371"/>
      <c r="T272" s="371"/>
      <c r="U272" s="369"/>
      <c r="V272" s="370"/>
      <c r="W272" s="372"/>
      <c r="X272" s="371"/>
      <c r="Y272" s="372"/>
      <c r="Z272" s="371"/>
      <c r="AA272" s="371"/>
      <c r="AB272" s="371"/>
      <c r="AC272" s="370"/>
      <c r="AD272" s="371"/>
      <c r="AE272" s="371"/>
      <c r="AF272" s="371"/>
      <c r="AG272" s="370"/>
      <c r="AH272" s="693"/>
      <c r="AI272" s="372"/>
      <c r="AK272" s="357">
        <f>+AK271*0.667*0.667</f>
        <v>654.04693227945506</v>
      </c>
      <c r="AL272" s="357"/>
      <c r="AM272" s="357">
        <f>0.667*(7-0.667)*AM271*2</f>
        <v>191.01429941999996</v>
      </c>
      <c r="AN272" s="357"/>
      <c r="AO272" s="310"/>
      <c r="AP272" s="357">
        <f>+AP271</f>
        <v>804.72758874368219</v>
      </c>
      <c r="AQ272" s="357"/>
    </row>
    <row r="273" spans="2:44" ht="20.100000000000001" customHeight="1" x14ac:dyDescent="0.3">
      <c r="B273" s="18"/>
      <c r="C273" s="19" t="s">
        <v>248</v>
      </c>
      <c r="D273" s="20"/>
      <c r="E273" s="18"/>
      <c r="F273" s="18"/>
      <c r="G273" s="20"/>
      <c r="H273" s="20"/>
      <c r="I273" s="21"/>
      <c r="J273" s="81"/>
      <c r="K273" s="23">
        <f>SUM(K7:K271)</f>
        <v>2943.5412250950003</v>
      </c>
      <c r="L273" s="23">
        <f>SUM(L7:L271)</f>
        <v>101.04280800000001</v>
      </c>
      <c r="M273" s="24"/>
      <c r="N273" s="23">
        <f>SUM(N7:N271)</f>
        <v>3232.1435174600001</v>
      </c>
      <c r="O273" s="23">
        <f>SUM(O7:O271)</f>
        <v>134.72374400000001</v>
      </c>
      <c r="P273" s="24"/>
      <c r="Q273" s="23">
        <f>SUM(Q7:Q271)</f>
        <v>2953.6155339374372</v>
      </c>
      <c r="R273" s="23">
        <f>SUM(R7:R271)</f>
        <v>104.62534168800002</v>
      </c>
      <c r="S273" s="23">
        <f>SUM(S7:S271)</f>
        <v>9129.3002764924386</v>
      </c>
      <c r="T273" s="23">
        <f>SUM(T7:T271)</f>
        <v>340.39189368799998</v>
      </c>
      <c r="U273" s="18"/>
      <c r="V273" s="26"/>
      <c r="W273" s="21"/>
      <c r="X273" s="21"/>
      <c r="Y273" s="23">
        <f>SUM(Y7:Y271)</f>
        <v>159.3593001635</v>
      </c>
      <c r="Z273" s="23">
        <f>SUM(Z7:Z271)</f>
        <v>0.59656950000000009</v>
      </c>
      <c r="AA273" s="23">
        <f>SUM(AA7:AA271)</f>
        <v>283.31995232700012</v>
      </c>
      <c r="AB273" s="23">
        <f>SUM(AB7:AB271)</f>
        <v>481.42198099999979</v>
      </c>
      <c r="AC273" s="27"/>
      <c r="AD273" s="21"/>
      <c r="AE273" s="23">
        <f>SUM(AE7:AE271)</f>
        <v>35.163613687000009</v>
      </c>
      <c r="AF273" s="23">
        <f>SUM(AF7:AF271)</f>
        <v>0</v>
      </c>
      <c r="AG273" s="27"/>
      <c r="AH273" s="23">
        <f>SUM(AH7:AH271)</f>
        <v>79</v>
      </c>
      <c r="AI273" s="23">
        <f>SUM(AI7:AI271)</f>
        <v>193.91512808204004</v>
      </c>
      <c r="AK273" s="358"/>
      <c r="AL273" s="358">
        <f>+AL271*0.667</f>
        <v>22.465184312000002</v>
      </c>
      <c r="AM273" s="358"/>
      <c r="AN273" s="358">
        <f>(7-0.667)*AN271*2</f>
        <v>16.845780000000001</v>
      </c>
      <c r="AO273" s="359">
        <f>+AO271*(3-0.667)</f>
        <v>0</v>
      </c>
      <c r="AP273" s="358"/>
      <c r="AQ273" s="358">
        <f>1.33*(7-0.667)*AQ271</f>
        <v>0</v>
      </c>
    </row>
    <row r="274" spans="2:44" ht="20.100000000000001" customHeight="1" x14ac:dyDescent="0.3">
      <c r="J274" s="105"/>
      <c r="K274" s="105"/>
      <c r="L274" s="105"/>
      <c r="Z274" s="167"/>
      <c r="AF274" s="167"/>
      <c r="AK274" s="382"/>
      <c r="AL274" s="382"/>
      <c r="AM274" s="382"/>
      <c r="AN274" s="382"/>
      <c r="AO274" s="383"/>
      <c r="AP274" s="382"/>
      <c r="AQ274" s="382"/>
    </row>
    <row r="275" spans="2:44" ht="20.100000000000001" customHeight="1" x14ac:dyDescent="0.3">
      <c r="J275" s="105"/>
      <c r="K275" s="105"/>
      <c r="L275" s="105"/>
      <c r="Z275" s="384"/>
      <c r="AA275" s="88"/>
      <c r="AB275" s="88"/>
      <c r="AC275" s="86"/>
      <c r="AD275" s="88"/>
      <c r="AE275" s="88"/>
      <c r="AF275" s="385"/>
      <c r="AG275" s="86"/>
      <c r="AK275" s="90"/>
      <c r="AL275" s="90"/>
      <c r="AM275" s="90"/>
      <c r="AN275" s="90"/>
      <c r="AO275" s="386"/>
      <c r="AP275" s="90"/>
      <c r="AQ275" s="90"/>
    </row>
    <row r="276" spans="2:44" ht="20.100000000000001" customHeight="1" x14ac:dyDescent="0.3">
      <c r="B276" s="772" t="s">
        <v>243</v>
      </c>
      <c r="C276" s="773"/>
      <c r="D276" s="773"/>
      <c r="E276" s="773"/>
      <c r="F276" s="773"/>
      <c r="G276" s="258"/>
      <c r="H276" s="258"/>
      <c r="I276" s="386"/>
      <c r="J276" s="386"/>
      <c r="K276" s="774" t="s">
        <v>25</v>
      </c>
      <c r="L276" s="775"/>
      <c r="M276" s="386"/>
      <c r="N276" s="774" t="s">
        <v>26</v>
      </c>
      <c r="O276" s="775"/>
      <c r="P276" s="386"/>
      <c r="Q276" s="774" t="s">
        <v>27</v>
      </c>
      <c r="R276" s="775"/>
      <c r="S276" s="774" t="s">
        <v>10</v>
      </c>
      <c r="T276" s="775"/>
      <c r="U276" s="258"/>
      <c r="V276" s="61"/>
      <c r="W276" s="384"/>
      <c r="X276" s="384"/>
      <c r="Y276" s="776"/>
      <c r="Z276" s="776"/>
      <c r="AA276" s="776"/>
      <c r="AB276" s="776"/>
      <c r="AC276" s="387"/>
      <c r="AD276" s="384"/>
      <c r="AE276" s="384"/>
      <c r="AF276" s="384"/>
      <c r="AG276" s="387"/>
      <c r="AH276" s="384"/>
      <c r="AI276" s="384"/>
      <c r="AK276" s="777" t="s">
        <v>313</v>
      </c>
      <c r="AL276" s="777"/>
      <c r="AM276" s="86"/>
      <c r="AN276" s="86"/>
      <c r="AP276" s="86"/>
      <c r="AQ276" s="86"/>
    </row>
    <row r="277" spans="2:44" ht="20.100000000000001" customHeight="1" x14ac:dyDescent="0.3">
      <c r="B277" s="313" t="s">
        <v>0</v>
      </c>
      <c r="C277" s="313" t="s">
        <v>28</v>
      </c>
      <c r="D277" s="313" t="s">
        <v>2</v>
      </c>
      <c r="E277" s="769" t="s">
        <v>3</v>
      </c>
      <c r="F277" s="769"/>
      <c r="G277" s="313"/>
      <c r="H277" s="313"/>
      <c r="I277" s="312"/>
      <c r="J277" s="312"/>
      <c r="K277" s="312" t="s">
        <v>19</v>
      </c>
      <c r="L277" s="312" t="s">
        <v>20</v>
      </c>
      <c r="M277" s="312"/>
      <c r="N277" s="312" t="s">
        <v>19</v>
      </c>
      <c r="O277" s="312" t="s">
        <v>20</v>
      </c>
      <c r="P277" s="312"/>
      <c r="Q277" s="312" t="s">
        <v>19</v>
      </c>
      <c r="R277" s="312" t="s">
        <v>20</v>
      </c>
      <c r="S277" s="312" t="s">
        <v>19</v>
      </c>
      <c r="T277" s="312" t="s">
        <v>20</v>
      </c>
      <c r="U277" s="313" t="s">
        <v>11</v>
      </c>
      <c r="V277" s="45"/>
      <c r="W277" s="770" t="s">
        <v>12</v>
      </c>
      <c r="X277" s="770"/>
      <c r="Y277" s="770"/>
      <c r="Z277" s="770"/>
      <c r="AA277" s="770" t="s">
        <v>13</v>
      </c>
      <c r="AB277" s="770"/>
      <c r="AC277" s="46"/>
      <c r="AD277" s="770" t="s">
        <v>14</v>
      </c>
      <c r="AE277" s="770"/>
      <c r="AF277" s="770"/>
      <c r="AG277" s="46"/>
      <c r="AH277" s="770" t="s">
        <v>15</v>
      </c>
      <c r="AI277" s="770"/>
      <c r="AK277" s="355" t="s">
        <v>19</v>
      </c>
      <c r="AL277" s="355" t="s">
        <v>20</v>
      </c>
      <c r="AM277" s="49"/>
      <c r="AN277" s="49"/>
      <c r="AO277" s="383"/>
      <c r="AP277" s="49"/>
      <c r="AQ277" s="49"/>
    </row>
    <row r="278" spans="2:44" s="86" customFormat="1" ht="20.100000000000001" customHeight="1" x14ac:dyDescent="0.3">
      <c r="B278" s="47"/>
      <c r="C278" s="64" t="s">
        <v>89</v>
      </c>
      <c r="D278" s="47"/>
      <c r="E278" s="47"/>
      <c r="F278" s="47"/>
      <c r="G278" s="47"/>
      <c r="H278" s="47"/>
      <c r="I278" s="48"/>
      <c r="J278" s="48"/>
      <c r="K278" s="48"/>
      <c r="L278" s="48"/>
      <c r="M278" s="48"/>
      <c r="N278" s="48"/>
      <c r="O278" s="48"/>
      <c r="P278" s="48"/>
      <c r="Q278" s="48"/>
      <c r="R278" s="48"/>
      <c r="S278" s="48"/>
      <c r="T278" s="48"/>
      <c r="U278" s="47"/>
      <c r="V278" s="49"/>
      <c r="W278" s="312" t="s">
        <v>4</v>
      </c>
      <c r="X278" s="312" t="s">
        <v>16</v>
      </c>
      <c r="Y278" s="312" t="s">
        <v>19</v>
      </c>
      <c r="Z278" s="312" t="s">
        <v>20</v>
      </c>
      <c r="AA278" s="312" t="s">
        <v>21</v>
      </c>
      <c r="AB278" s="312" t="s">
        <v>22</v>
      </c>
      <c r="AC278" s="46"/>
      <c r="AD278" s="312" t="s">
        <v>16</v>
      </c>
      <c r="AE278" s="312" t="s">
        <v>19</v>
      </c>
      <c r="AF278" s="312" t="s">
        <v>20</v>
      </c>
      <c r="AG278" s="46"/>
      <c r="AH278" s="312" t="s">
        <v>3</v>
      </c>
      <c r="AI278" s="312" t="s">
        <v>23</v>
      </c>
      <c r="AK278" s="388">
        <f>+AK272+AM272+AP272</f>
        <v>1649.7888204431372</v>
      </c>
      <c r="AL278" s="389"/>
      <c r="AM278" s="28"/>
      <c r="AN278" s="28"/>
      <c r="AO278" s="106"/>
      <c r="AP278" s="28"/>
      <c r="AQ278" s="28"/>
      <c r="AR278" s="28"/>
    </row>
    <row r="279" spans="2:44" ht="20.100000000000001" customHeight="1" x14ac:dyDescent="0.3">
      <c r="B279" s="18"/>
      <c r="C279" s="50"/>
      <c r="D279" s="18" t="s">
        <v>29</v>
      </c>
      <c r="E279" s="18">
        <v>1</v>
      </c>
      <c r="F279" s="18">
        <v>1</v>
      </c>
      <c r="G279" s="20"/>
      <c r="H279" s="18"/>
      <c r="I279" s="21"/>
      <c r="J279" s="21"/>
      <c r="K279" s="21">
        <f>K273</f>
        <v>2943.5412250950003</v>
      </c>
      <c r="L279" s="21"/>
      <c r="M279" s="21"/>
      <c r="N279" s="21">
        <f>N273</f>
        <v>3232.1435174600001</v>
      </c>
      <c r="O279" s="21"/>
      <c r="P279" s="21"/>
      <c r="Q279" s="21">
        <f>Q273</f>
        <v>2953.6155339374372</v>
      </c>
      <c r="R279" s="21"/>
      <c r="S279" s="52">
        <f>+Q279+N279+K279</f>
        <v>9129.3002764924386</v>
      </c>
      <c r="T279" s="52"/>
      <c r="U279" s="53"/>
      <c r="V279" s="54"/>
      <c r="W279" s="48"/>
      <c r="X279" s="48"/>
      <c r="Y279" s="55">
        <f>Y273</f>
        <v>159.3593001635</v>
      </c>
      <c r="Z279" s="55"/>
      <c r="AA279" s="55">
        <f>AA273</f>
        <v>283.31995232700012</v>
      </c>
      <c r="AB279" s="55"/>
      <c r="AC279" s="55" t="e">
        <f>#REF!</f>
        <v>#REF!</v>
      </c>
      <c r="AD279" s="55"/>
      <c r="AE279" s="55">
        <f>AE273</f>
        <v>35.163613687000009</v>
      </c>
      <c r="AF279" s="55"/>
      <c r="AG279" s="55" t="e">
        <f>#REF!</f>
        <v>#REF!</v>
      </c>
      <c r="AH279" s="55"/>
      <c r="AI279" s="55">
        <f>AI273</f>
        <v>193.91512808204004</v>
      </c>
      <c r="AK279" s="389"/>
      <c r="AL279" s="388">
        <f>+AL273+AN273+AO273</f>
        <v>39.310964312000003</v>
      </c>
    </row>
    <row r="280" spans="2:44" ht="20.100000000000001" customHeight="1" x14ac:dyDescent="0.3">
      <c r="B280" s="18"/>
      <c r="C280" s="50"/>
      <c r="D280" s="18" t="s">
        <v>30</v>
      </c>
      <c r="E280" s="18">
        <v>1</v>
      </c>
      <c r="F280" s="18">
        <v>1</v>
      </c>
      <c r="G280" s="18"/>
      <c r="H280" s="18"/>
      <c r="I280" s="21"/>
      <c r="J280" s="21"/>
      <c r="K280" s="21"/>
      <c r="L280" s="21">
        <f>L273</f>
        <v>101.04280800000001</v>
      </c>
      <c r="M280" s="21"/>
      <c r="N280" s="21"/>
      <c r="O280" s="21">
        <f>O273</f>
        <v>134.72374400000001</v>
      </c>
      <c r="P280" s="21"/>
      <c r="Q280" s="21"/>
      <c r="R280" s="21">
        <f>R273</f>
        <v>104.62534168800002</v>
      </c>
      <c r="S280" s="52"/>
      <c r="T280" s="52">
        <f>+R280+O280+L280</f>
        <v>340.39189368800004</v>
      </c>
      <c r="U280" s="56"/>
      <c r="V280" s="54"/>
      <c r="W280" s="48"/>
      <c r="X280" s="48"/>
      <c r="Y280" s="48"/>
      <c r="Z280" s="48">
        <f>Z273</f>
        <v>0.59656950000000009</v>
      </c>
      <c r="AA280" s="48"/>
      <c r="AB280" s="48">
        <f>AB273</f>
        <v>481.42198099999979</v>
      </c>
      <c r="AC280" s="48" t="e">
        <f>#REF!</f>
        <v>#REF!</v>
      </c>
      <c r="AD280" s="48"/>
      <c r="AE280" s="48"/>
      <c r="AF280" s="48">
        <f>AF273</f>
        <v>0</v>
      </c>
      <c r="AG280" s="48" t="e">
        <f>#REF!</f>
        <v>#REF!</v>
      </c>
      <c r="AH280" s="48"/>
      <c r="AI280" s="48"/>
      <c r="AK280" s="297"/>
      <c r="AL280" s="297"/>
    </row>
    <row r="281" spans="2:44" ht="20.100000000000001" customHeight="1" x14ac:dyDescent="0.3">
      <c r="B281" s="18"/>
      <c r="C281" s="50"/>
      <c r="D281" s="18"/>
      <c r="E281" s="18"/>
      <c r="F281" s="18"/>
      <c r="G281" s="18"/>
      <c r="H281" s="18"/>
      <c r="I281" s="21"/>
      <c r="J281" s="21"/>
      <c r="K281" s="21"/>
      <c r="L281" s="21"/>
      <c r="M281" s="21"/>
      <c r="N281" s="21"/>
      <c r="O281" s="21"/>
      <c r="P281" s="21"/>
      <c r="Q281" s="21"/>
      <c r="R281" s="21"/>
      <c r="S281" s="21"/>
      <c r="T281" s="21"/>
      <c r="U281" s="18"/>
      <c r="V281" s="54"/>
      <c r="W281" s="48"/>
      <c r="X281" s="48"/>
      <c r="Y281" s="48"/>
      <c r="Z281" s="48"/>
      <c r="AA281" s="48"/>
      <c r="AB281" s="48"/>
      <c r="AC281" s="48"/>
      <c r="AD281" s="48"/>
      <c r="AE281" s="48"/>
      <c r="AF281" s="48"/>
      <c r="AG281" s="48"/>
      <c r="AH281" s="48"/>
      <c r="AI281" s="48"/>
      <c r="AK281" s="363">
        <f t="shared" ref="AK281" si="889">SUM(AK278:AK280)</f>
        <v>1649.7888204431372</v>
      </c>
      <c r="AL281" s="363">
        <f>SUM(AL278:AL280)</f>
        <v>39.310964312000003</v>
      </c>
      <c r="AM281" s="90"/>
      <c r="AN281" s="90"/>
      <c r="AO281" s="386"/>
      <c r="AP281" s="90"/>
      <c r="AQ281" s="90"/>
    </row>
    <row r="282" spans="2:44" ht="20.100000000000001" customHeight="1" x14ac:dyDescent="0.3">
      <c r="B282" s="57"/>
      <c r="C282" s="58" t="s">
        <v>10</v>
      </c>
      <c r="D282" s="57"/>
      <c r="E282" s="57"/>
      <c r="F282" s="57"/>
      <c r="G282" s="57"/>
      <c r="H282" s="57"/>
      <c r="I282" s="59"/>
      <c r="J282" s="59"/>
      <c r="K282" s="60">
        <f>SUM(K279:K280)</f>
        <v>2943.5412250950003</v>
      </c>
      <c r="L282" s="60">
        <f t="shared" ref="L282:T282" si="890">SUM(L279:L280)</f>
        <v>101.04280800000001</v>
      </c>
      <c r="M282" s="60">
        <f t="shared" si="890"/>
        <v>0</v>
      </c>
      <c r="N282" s="60">
        <f t="shared" si="890"/>
        <v>3232.1435174600001</v>
      </c>
      <c r="O282" s="60">
        <f t="shared" si="890"/>
        <v>134.72374400000001</v>
      </c>
      <c r="P282" s="60">
        <f t="shared" si="890"/>
        <v>0</v>
      </c>
      <c r="Q282" s="60">
        <f t="shared" si="890"/>
        <v>2953.6155339374372</v>
      </c>
      <c r="R282" s="60">
        <f t="shared" si="890"/>
        <v>104.62534168800002</v>
      </c>
      <c r="S282" s="60">
        <f t="shared" si="890"/>
        <v>9129.3002764924386</v>
      </c>
      <c r="T282" s="60">
        <f t="shared" si="890"/>
        <v>340.39189368800004</v>
      </c>
      <c r="U282" s="57"/>
      <c r="V282" s="61"/>
      <c r="W282" s="48"/>
      <c r="X282" s="48"/>
      <c r="Y282" s="60">
        <f t="shared" ref="Y282:AI282" si="891">SUM(Y279:Y281)</f>
        <v>159.3593001635</v>
      </c>
      <c r="Z282" s="60">
        <f t="shared" si="891"/>
        <v>0.59656950000000009</v>
      </c>
      <c r="AA282" s="60">
        <f t="shared" si="891"/>
        <v>283.31995232700012</v>
      </c>
      <c r="AB282" s="60">
        <f t="shared" si="891"/>
        <v>481.42198099999979</v>
      </c>
      <c r="AC282" s="60" t="e">
        <f t="shared" si="891"/>
        <v>#REF!</v>
      </c>
      <c r="AD282" s="60">
        <f t="shared" si="891"/>
        <v>0</v>
      </c>
      <c r="AE282" s="60">
        <f t="shared" si="891"/>
        <v>35.163613687000009</v>
      </c>
      <c r="AF282" s="60">
        <f t="shared" si="891"/>
        <v>0</v>
      </c>
      <c r="AG282" s="60" t="e">
        <f t="shared" si="891"/>
        <v>#REF!</v>
      </c>
      <c r="AH282" s="60">
        <f>SUM(AH279:AH281)</f>
        <v>0</v>
      </c>
      <c r="AI282" s="60">
        <f t="shared" si="891"/>
        <v>193.91512808204004</v>
      </c>
      <c r="AK282" s="390" t="s">
        <v>65</v>
      </c>
      <c r="AL282" s="390" t="s">
        <v>103</v>
      </c>
    </row>
    <row r="283" spans="2:44" ht="20.100000000000001" customHeight="1" x14ac:dyDescent="0.3">
      <c r="B283" s="18"/>
      <c r="C283" s="62"/>
      <c r="D283" s="18"/>
      <c r="E283" s="18"/>
      <c r="F283" s="18"/>
      <c r="G283" s="18"/>
      <c r="H283" s="18">
        <f>+D283</f>
        <v>0</v>
      </c>
      <c r="I283" s="21"/>
      <c r="J283" s="21"/>
      <c r="K283" s="21"/>
      <c r="L283" s="21"/>
      <c r="M283" s="21"/>
      <c r="N283" s="21">
        <f>+IF(D283=0.667,E283*F283*G283*H283*M283,0)</f>
        <v>0</v>
      </c>
      <c r="O283" s="21">
        <f>+IF(D283=0.333,E283*F283*G283*M283,0)</f>
        <v>0</v>
      </c>
      <c r="P283" s="21"/>
      <c r="Q283" s="21">
        <f>+IF(D283=0.667,E283*F283*G283*H283*P283,0)</f>
        <v>0</v>
      </c>
      <c r="R283" s="21">
        <f>+IF(D283=0.333,E283*F283*G283*P283,0)</f>
        <v>0</v>
      </c>
      <c r="S283" s="21">
        <f>+Q283+N283+K283</f>
        <v>0</v>
      </c>
      <c r="T283" s="21">
        <f>+R283+O283+L283</f>
        <v>0</v>
      </c>
      <c r="U283" s="18"/>
      <c r="V283" s="54"/>
      <c r="W283" s="48"/>
      <c r="X283" s="48"/>
      <c r="Y283" s="48"/>
      <c r="Z283" s="166">
        <f>+Z282+Y282</f>
        <v>159.95586966349998</v>
      </c>
      <c r="AA283" s="48"/>
      <c r="AB283" s="166">
        <f>+AA282+AB282</f>
        <v>764.74193332699997</v>
      </c>
      <c r="AC283" s="48"/>
      <c r="AD283" s="48"/>
      <c r="AE283" s="48"/>
      <c r="AF283" s="166">
        <f>AF282</f>
        <v>0</v>
      </c>
      <c r="AG283" s="48"/>
      <c r="AH283" s="48"/>
      <c r="AI283" s="48"/>
    </row>
    <row r="284" spans="2:44" x14ac:dyDescent="0.3">
      <c r="I284" s="106"/>
      <c r="J284" s="106"/>
      <c r="K284" s="106"/>
      <c r="L284" s="106"/>
      <c r="M284" s="106"/>
      <c r="N284" s="106"/>
      <c r="O284" s="106"/>
      <c r="P284" s="106"/>
      <c r="Q284" s="106"/>
      <c r="R284" s="106"/>
      <c r="S284" s="106"/>
      <c r="T284" s="106"/>
      <c r="U284" s="86"/>
      <c r="V284" s="86"/>
      <c r="W284" s="88"/>
      <c r="X284" s="88"/>
      <c r="Y284" s="106"/>
      <c r="Z284" s="384">
        <f>+Z282/0.33</f>
        <v>1.8077863636363638</v>
      </c>
      <c r="AA284" s="88"/>
      <c r="AB284" s="88"/>
      <c r="AC284" s="86"/>
      <c r="AD284" s="88"/>
      <c r="AE284" s="88"/>
      <c r="AF284" s="88">
        <f>+AF282/0.17</f>
        <v>0</v>
      </c>
      <c r="AG284" s="86"/>
      <c r="AH284" s="88"/>
    </row>
    <row r="285" spans="2:44" x14ac:dyDescent="0.3">
      <c r="I285" s="106"/>
      <c r="J285" s="106"/>
      <c r="K285" s="106"/>
      <c r="L285" s="106"/>
      <c r="M285" s="106"/>
      <c r="N285" s="106"/>
      <c r="O285" s="106"/>
      <c r="P285" s="106"/>
      <c r="Q285" s="106"/>
      <c r="R285" s="106"/>
      <c r="S285" s="106">
        <f>+S282+T282</f>
        <v>9469.6921701804386</v>
      </c>
      <c r="T285" s="106"/>
      <c r="U285" s="86"/>
      <c r="V285" s="54"/>
      <c r="W285" s="88"/>
      <c r="X285" s="88"/>
      <c r="Y285" s="106"/>
      <c r="Z285" s="88" t="s">
        <v>103</v>
      </c>
      <c r="AA285" s="88"/>
      <c r="AB285" s="88"/>
      <c r="AC285" s="391"/>
      <c r="AD285" s="88"/>
      <c r="AE285" s="88"/>
      <c r="AF285" s="88" t="s">
        <v>103</v>
      </c>
      <c r="AG285" s="391"/>
      <c r="AH285" s="88"/>
      <c r="AO285" s="106">
        <f>1.33+0.15</f>
        <v>1.48</v>
      </c>
    </row>
    <row r="286" spans="2:44" x14ac:dyDescent="0.3">
      <c r="AK286" s="392">
        <f>164/100*AK281</f>
        <v>2705.653665526745</v>
      </c>
      <c r="AL286" s="392">
        <f>108/100*AL281</f>
        <v>42.455841456960009</v>
      </c>
      <c r="AO286" s="106">
        <f>0.67+0.15</f>
        <v>0.82000000000000006</v>
      </c>
    </row>
    <row r="287" spans="2:44" x14ac:dyDescent="0.3">
      <c r="S287" s="670">
        <f>+S273+T273</f>
        <v>9469.6921701804386</v>
      </c>
      <c r="AO287" s="106">
        <v>0.67</v>
      </c>
    </row>
    <row r="288" spans="2:44" x14ac:dyDescent="0.3">
      <c r="AK288" s="28">
        <v>961</v>
      </c>
      <c r="AO288" s="106">
        <f>+AO285*AO286*AO287</f>
        <v>0.81311200000000006</v>
      </c>
      <c r="AP288" s="28">
        <f>+AK281/AO288</f>
        <v>2028.9810265291092</v>
      </c>
    </row>
    <row r="289" spans="3:19" x14ac:dyDescent="0.3">
      <c r="C289" s="28" t="s">
        <v>94</v>
      </c>
      <c r="D289" s="86" t="s">
        <v>577</v>
      </c>
      <c r="E289" s="86">
        <v>6</v>
      </c>
    </row>
    <row r="290" spans="3:19" x14ac:dyDescent="0.3">
      <c r="S290" s="392">
        <f>+S285-S287</f>
        <v>0</v>
      </c>
    </row>
  </sheetData>
  <mergeCells count="33">
    <mergeCell ref="AK3:AL3"/>
    <mergeCell ref="AM3:AN3"/>
    <mergeCell ref="AP3:AQ3"/>
    <mergeCell ref="AK276:AL276"/>
    <mergeCell ref="AH277:AI277"/>
    <mergeCell ref="E277:F277"/>
    <mergeCell ref="W277:Z277"/>
    <mergeCell ref="AA277:AB277"/>
    <mergeCell ref="B276:F276"/>
    <mergeCell ref="K276:L276"/>
    <mergeCell ref="N276:O276"/>
    <mergeCell ref="Q276:R276"/>
    <mergeCell ref="S276:T276"/>
    <mergeCell ref="AD277:AF277"/>
    <mergeCell ref="W3:Z3"/>
    <mergeCell ref="AA3:AB3"/>
    <mergeCell ref="AD3:AF3"/>
    <mergeCell ref="AH3:AI3"/>
    <mergeCell ref="Y276:Z276"/>
    <mergeCell ref="AA276:AB276"/>
    <mergeCell ref="U3:U4"/>
    <mergeCell ref="H3:H4"/>
    <mergeCell ref="B3:B4"/>
    <mergeCell ref="C3:C4"/>
    <mergeCell ref="D3:D4"/>
    <mergeCell ref="G3:G4"/>
    <mergeCell ref="I3:I4"/>
    <mergeCell ref="J3:L3"/>
    <mergeCell ref="M3:O3"/>
    <mergeCell ref="P3:R3"/>
    <mergeCell ref="S3:T3"/>
    <mergeCell ref="E3:E4"/>
    <mergeCell ref="F3:F4"/>
  </mergeCells>
  <printOptions horizontalCentered="1"/>
  <pageMargins left="0" right="0" top="0" bottom="0" header="0.3" footer="0.3"/>
  <pageSetup paperSize="9" scale="67" orientation="landscape" r:id="rId1"/>
  <ignoredErrors>
    <ignoredError sqref="E170 F228 E54:F60 E68:F68 E75:F82 E96:F103 G129 G131 E63:F64 F61 F6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Budget R0</vt:lpstr>
      <vt:lpstr>BW Abs</vt:lpstr>
      <vt:lpstr>Budget Compa</vt:lpstr>
      <vt:lpstr>Material Abs</vt:lpstr>
      <vt:lpstr>WO </vt:lpstr>
      <vt:lpstr>Appd Brick Tile</vt:lpstr>
      <vt:lpstr>Plinth area</vt:lpstr>
      <vt:lpstr>Base Floor - BW</vt:lpstr>
      <vt:lpstr>Ground Floor - BW</vt:lpstr>
      <vt:lpstr>1st Floor - BW </vt:lpstr>
      <vt:lpstr>Typical 2,3 - BW</vt:lpstr>
      <vt:lpstr>Terrace - BW</vt:lpstr>
      <vt:lpstr>Chips packing</vt:lpstr>
      <vt:lpstr>Concrete</vt:lpstr>
      <vt:lpstr>Lintel Steel</vt:lpstr>
      <vt:lpstr>Loft</vt:lpstr>
      <vt:lpstr>Lock Set</vt:lpstr>
      <vt:lpstr>Struc Abs</vt:lpstr>
      <vt:lpstr>Sheet1</vt:lpstr>
      <vt:lpstr>'Budget Compa'!Print_Area</vt:lpstr>
      <vt:lpstr>'Budget R0'!Print_Area</vt:lpstr>
      <vt:lpstr>'Struc Abs'!Print_Area</vt:lpstr>
      <vt:lpstr>'1st Floor - BW '!Print_Titles</vt:lpstr>
      <vt:lpstr>'Budget Compa'!Print_Titles</vt:lpstr>
      <vt:lpstr>'Budget R0'!Print_Titles</vt:lpstr>
      <vt:lpstr>'Terrace - BW'!Print_Titles</vt:lpstr>
      <vt:lpstr>'Typical 2,3 - BW'!Print_Titles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Abirami</dc:creator>
  <cp:lastModifiedBy>Abirami G</cp:lastModifiedBy>
  <dcterms:created xsi:type="dcterms:W3CDTF">2022-08-22T10:38:46Z</dcterms:created>
  <dcterms:modified xsi:type="dcterms:W3CDTF">2026-01-30T15:52:39Z</dcterms:modified>
</cp:coreProperties>
</file>